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120" yWindow="180" windowWidth="12120" windowHeight="9060" tabRatio="923" activeTab="7"/>
  </bookViews>
  <sheets>
    <sheet name="COI" sheetId="7" r:id="rId1"/>
    <sheet name="BS" sheetId="1" r:id="rId2"/>
    <sheet name="P&amp;L" sheetId="3" r:id="rId3"/>
    <sheet name="BS Sch" sheetId="2" r:id="rId4"/>
    <sheet name="P&amp;L Sch" sheetId="4" r:id="rId5"/>
    <sheet name="grouping" sheetId="13" r:id="rId6"/>
    <sheet name="fa" sheetId="9" r:id="rId7"/>
    <sheet name="QUERY" sheetId="16" r:id="rId8"/>
    <sheet name="tds working" sheetId="10" state="hidden" r:id="rId9"/>
    <sheet name="tds-f" sheetId="12" state="hidden" r:id="rId10"/>
    <sheet name="tds-fi" sheetId="11" state="hidden" r:id="rId11"/>
    <sheet name="tb" sheetId="14" state="hidden" r:id="rId12"/>
  </sheets>
  <definedNames>
    <definedName name="_xlnm._FilterDatabase" localSheetId="10" hidden="1">'tds-fi'!$A$2:$M$184</definedName>
    <definedName name="_xlnm.Print_Area" localSheetId="1">BS!$A$1:$I$55</definedName>
    <definedName name="_xlnm.Print_Area" localSheetId="3">'BS Sch'!$A$1:$D$82</definedName>
    <definedName name="_xlnm.Print_Area" localSheetId="0">COI!$A$1:$E$53</definedName>
    <definedName name="_xlnm.Print_Area" localSheetId="6">fa!$A$1:$M$23</definedName>
    <definedName name="_xlnm.Print_Area" localSheetId="2">'P&amp;L'!$A$1:$H$65</definedName>
    <definedName name="TOTAL_DEPRECIATION_ON_SOLD_ASSET">#REF!</definedName>
  </definedNames>
  <calcPr calcId="124519"/>
  <pivotCaches>
    <pivotCache cacheId="2" r:id="rId13"/>
  </pivotCaches>
  <fileRecoveryPr autoRecover="0" repairLoad="1"/>
</workbook>
</file>

<file path=xl/calcChain.xml><?xml version="1.0" encoding="utf-8"?>
<calcChain xmlns="http://schemas.openxmlformats.org/spreadsheetml/2006/main">
  <c r="H55" i="7"/>
  <c r="G18" i="1" l="1"/>
  <c r="D53" i="2"/>
  <c r="C24" i="4" l="1"/>
  <c r="C36"/>
  <c r="C32"/>
  <c r="C49"/>
  <c r="D40"/>
  <c r="I11" i="9"/>
  <c r="I15"/>
  <c r="G21"/>
  <c r="K21"/>
  <c r="M21"/>
  <c r="I17"/>
  <c r="I13"/>
  <c r="I9"/>
  <c r="L21" l="1"/>
  <c r="D52" i="2"/>
  <c r="C53"/>
  <c r="C52"/>
  <c r="D88" i="13"/>
  <c r="D72" i="2" s="1"/>
  <c r="C88" i="13"/>
  <c r="C72" i="2" s="1"/>
  <c r="D81" i="13"/>
  <c r="C81"/>
  <c r="F18" i="1" s="1"/>
  <c r="D70" i="13"/>
  <c r="D63" i="2" s="1"/>
  <c r="C70" i="13"/>
  <c r="C63" i="2" s="1"/>
  <c r="D58" i="13"/>
  <c r="C58"/>
  <c r="D51"/>
  <c r="D44" i="2" s="1"/>
  <c r="C51" i="13"/>
  <c r="C44" i="2" s="1"/>
  <c r="D39" i="13"/>
  <c r="D45" i="2" s="1"/>
  <c r="C39" i="13"/>
  <c r="C45" i="2" s="1"/>
  <c r="D17" i="13"/>
  <c r="D37" i="2" s="1"/>
  <c r="C17" i="13"/>
  <c r="C37" i="2" s="1"/>
  <c r="D29" i="13"/>
  <c r="D54" i="2" s="1"/>
  <c r="C29" i="13"/>
  <c r="C54" i="2" s="1"/>
  <c r="N90" i="11"/>
  <c r="N184" s="1"/>
  <c r="C26" i="12"/>
  <c r="C25"/>
  <c r="L78" i="11"/>
  <c r="M69"/>
  <c r="L95"/>
  <c r="L99"/>
  <c r="M152"/>
  <c r="M174"/>
  <c r="M173"/>
  <c r="M171"/>
  <c r="M170"/>
  <c r="M169"/>
  <c r="M162"/>
  <c r="M161"/>
  <c r="M150"/>
  <c r="M149"/>
  <c r="M141"/>
  <c r="M140"/>
  <c r="M138"/>
  <c r="M134"/>
  <c r="M127"/>
  <c r="M120"/>
  <c r="M119"/>
  <c r="M112"/>
  <c r="M111"/>
  <c r="M101"/>
  <c r="M72"/>
  <c r="M70"/>
  <c r="M67"/>
  <c r="M66"/>
  <c r="M65"/>
  <c r="M56"/>
  <c r="M53"/>
  <c r="M52"/>
  <c r="M30"/>
  <c r="M13"/>
  <c r="M12"/>
  <c r="M4"/>
  <c r="L184"/>
  <c r="J184"/>
  <c r="I184"/>
  <c r="H184"/>
  <c r="G184"/>
  <c r="F184"/>
  <c r="E184"/>
  <c r="D184"/>
  <c r="C184"/>
  <c r="K183"/>
  <c r="M183" s="1"/>
  <c r="K182"/>
  <c r="M182" s="1"/>
  <c r="K181"/>
  <c r="M181" s="1"/>
  <c r="K180"/>
  <c r="M180" s="1"/>
  <c r="K179"/>
  <c r="M179" s="1"/>
  <c r="K178"/>
  <c r="M178" s="1"/>
  <c r="K177"/>
  <c r="M177" s="1"/>
  <c r="K176"/>
  <c r="M176" s="1"/>
  <c r="K175"/>
  <c r="M175" s="1"/>
  <c r="K172"/>
  <c r="M172" s="1"/>
  <c r="M168"/>
  <c r="K167"/>
  <c r="M167" s="1"/>
  <c r="K166"/>
  <c r="M166" s="1"/>
  <c r="K165"/>
  <c r="M165" s="1"/>
  <c r="K164"/>
  <c r="M164" s="1"/>
  <c r="K163"/>
  <c r="M163" s="1"/>
  <c r="K160"/>
  <c r="M160" s="1"/>
  <c r="K159"/>
  <c r="M159" s="1"/>
  <c r="K158"/>
  <c r="M158" s="1"/>
  <c r="K157"/>
  <c r="M157" s="1"/>
  <c r="K156"/>
  <c r="M156" s="1"/>
  <c r="K155"/>
  <c r="M155" s="1"/>
  <c r="K154"/>
  <c r="M154" s="1"/>
  <c r="K153"/>
  <c r="M153" s="1"/>
  <c r="K151"/>
  <c r="M151" s="1"/>
  <c r="K148"/>
  <c r="M148" s="1"/>
  <c r="K147"/>
  <c r="M147" s="1"/>
  <c r="K146"/>
  <c r="M146" s="1"/>
  <c r="K145"/>
  <c r="M145" s="1"/>
  <c r="K144"/>
  <c r="M144" s="1"/>
  <c r="K143"/>
  <c r="M143" s="1"/>
  <c r="K142"/>
  <c r="M142" s="1"/>
  <c r="K139"/>
  <c r="M139" s="1"/>
  <c r="M137"/>
  <c r="M136"/>
  <c r="K135"/>
  <c r="M135" s="1"/>
  <c r="K133"/>
  <c r="M133" s="1"/>
  <c r="K132"/>
  <c r="M132" s="1"/>
  <c r="K131"/>
  <c r="M131" s="1"/>
  <c r="K130"/>
  <c r="M130" s="1"/>
  <c r="K129"/>
  <c r="M129" s="1"/>
  <c r="K128"/>
  <c r="M128" s="1"/>
  <c r="K126"/>
  <c r="M126" s="1"/>
  <c r="K125"/>
  <c r="M125" s="1"/>
  <c r="K124"/>
  <c r="M124" s="1"/>
  <c r="K123"/>
  <c r="M123" s="1"/>
  <c r="K122"/>
  <c r="M122" s="1"/>
  <c r="K121"/>
  <c r="M121" s="1"/>
  <c r="K118"/>
  <c r="M118" s="1"/>
  <c r="K117"/>
  <c r="M117" s="1"/>
  <c r="K116"/>
  <c r="M116" s="1"/>
  <c r="K115"/>
  <c r="M115" s="1"/>
  <c r="K114"/>
  <c r="M114" s="1"/>
  <c r="K113"/>
  <c r="M113" s="1"/>
  <c r="K110"/>
  <c r="M110" s="1"/>
  <c r="K109"/>
  <c r="M109" s="1"/>
  <c r="K108"/>
  <c r="M108" s="1"/>
  <c r="K107"/>
  <c r="M107" s="1"/>
  <c r="K106"/>
  <c r="M106" s="1"/>
  <c r="K105"/>
  <c r="M105" s="1"/>
  <c r="K104"/>
  <c r="M104" s="1"/>
  <c r="K103"/>
  <c r="M103" s="1"/>
  <c r="K102"/>
  <c r="M102" s="1"/>
  <c r="K100"/>
  <c r="M100" s="1"/>
  <c r="K99"/>
  <c r="M99" s="1"/>
  <c r="K98"/>
  <c r="M98" s="1"/>
  <c r="K97"/>
  <c r="M97" s="1"/>
  <c r="K96"/>
  <c r="M96" s="1"/>
  <c r="K95"/>
  <c r="M95" s="1"/>
  <c r="K94"/>
  <c r="M94" s="1"/>
  <c r="K93"/>
  <c r="M93" s="1"/>
  <c r="K92"/>
  <c r="M92" s="1"/>
  <c r="K91"/>
  <c r="M91" s="1"/>
  <c r="K90"/>
  <c r="M90" s="1"/>
  <c r="K89"/>
  <c r="M89" s="1"/>
  <c r="K88"/>
  <c r="M88" s="1"/>
  <c r="K87"/>
  <c r="M87" s="1"/>
  <c r="K86"/>
  <c r="M86" s="1"/>
  <c r="K85"/>
  <c r="M85" s="1"/>
  <c r="K84"/>
  <c r="M84" s="1"/>
  <c r="K83"/>
  <c r="M83" s="1"/>
  <c r="K82"/>
  <c r="M82" s="1"/>
  <c r="K81"/>
  <c r="M81" s="1"/>
  <c r="K80"/>
  <c r="M80" s="1"/>
  <c r="K79"/>
  <c r="M79" s="1"/>
  <c r="K78"/>
  <c r="M78" s="1"/>
  <c r="K77"/>
  <c r="M77" s="1"/>
  <c r="K76"/>
  <c r="M76" s="1"/>
  <c r="K75"/>
  <c r="M75" s="1"/>
  <c r="K74"/>
  <c r="M74" s="1"/>
  <c r="K73"/>
  <c r="M73" s="1"/>
  <c r="K71"/>
  <c r="M71" s="1"/>
  <c r="K68"/>
  <c r="M68" s="1"/>
  <c r="K64"/>
  <c r="M64" s="1"/>
  <c r="K63"/>
  <c r="M63" s="1"/>
  <c r="K62"/>
  <c r="M62" s="1"/>
  <c r="K61"/>
  <c r="M61" s="1"/>
  <c r="K60"/>
  <c r="M60" s="1"/>
  <c r="K59"/>
  <c r="M59" s="1"/>
  <c r="K58"/>
  <c r="M58" s="1"/>
  <c r="K57"/>
  <c r="M57" s="1"/>
  <c r="K55"/>
  <c r="M55" s="1"/>
  <c r="K54"/>
  <c r="M54" s="1"/>
  <c r="K51"/>
  <c r="M51" s="1"/>
  <c r="K50"/>
  <c r="M50" s="1"/>
  <c r="K49"/>
  <c r="M49" s="1"/>
  <c r="K48"/>
  <c r="M48" s="1"/>
  <c r="K47"/>
  <c r="M47" s="1"/>
  <c r="K46"/>
  <c r="M46" s="1"/>
  <c r="K45"/>
  <c r="M45" s="1"/>
  <c r="K44"/>
  <c r="M44" s="1"/>
  <c r="K43"/>
  <c r="M43" s="1"/>
  <c r="K42"/>
  <c r="M42" s="1"/>
  <c r="K41"/>
  <c r="M41" s="1"/>
  <c r="K40"/>
  <c r="M40" s="1"/>
  <c r="K39"/>
  <c r="M39" s="1"/>
  <c r="K38"/>
  <c r="M38" s="1"/>
  <c r="K37"/>
  <c r="M37" s="1"/>
  <c r="K36"/>
  <c r="M36" s="1"/>
  <c r="K35"/>
  <c r="M35" s="1"/>
  <c r="K34"/>
  <c r="M34" s="1"/>
  <c r="K33"/>
  <c r="M33" s="1"/>
  <c r="K32"/>
  <c r="M32" s="1"/>
  <c r="K31"/>
  <c r="M31" s="1"/>
  <c r="K29"/>
  <c r="M29" s="1"/>
  <c r="K28"/>
  <c r="M28" s="1"/>
  <c r="K27"/>
  <c r="M27" s="1"/>
  <c r="K26"/>
  <c r="M26" s="1"/>
  <c r="K25"/>
  <c r="M25" s="1"/>
  <c r="K24"/>
  <c r="M24" s="1"/>
  <c r="K23"/>
  <c r="M23" s="1"/>
  <c r="K22"/>
  <c r="M22" s="1"/>
  <c r="K21"/>
  <c r="M21" s="1"/>
  <c r="K20"/>
  <c r="M20" s="1"/>
  <c r="K19"/>
  <c r="M19" s="1"/>
  <c r="K18"/>
  <c r="M18" s="1"/>
  <c r="K17"/>
  <c r="M17" s="1"/>
  <c r="K16"/>
  <c r="M16" s="1"/>
  <c r="K15"/>
  <c r="M15" s="1"/>
  <c r="K14"/>
  <c r="M14" s="1"/>
  <c r="K11"/>
  <c r="M11" s="1"/>
  <c r="K10"/>
  <c r="M10" s="1"/>
  <c r="K9"/>
  <c r="M9" s="1"/>
  <c r="K8"/>
  <c r="M8" s="1"/>
  <c r="K7"/>
  <c r="M7" s="1"/>
  <c r="K6"/>
  <c r="M6" s="1"/>
  <c r="K5"/>
  <c r="M5" s="1"/>
  <c r="K3"/>
  <c r="M3" s="1"/>
  <c r="G9" i="10"/>
  <c r="H9"/>
  <c r="F17"/>
  <c r="I17"/>
  <c r="H16"/>
  <c r="H15"/>
  <c r="H14"/>
  <c r="H13"/>
  <c r="H12"/>
  <c r="H11"/>
  <c r="H10"/>
  <c r="H8"/>
  <c r="H7"/>
  <c r="H6"/>
  <c r="H5"/>
  <c r="D16"/>
  <c r="I16" s="1"/>
  <c r="D15"/>
  <c r="I15" s="1"/>
  <c r="D14"/>
  <c r="I14" s="1"/>
  <c r="D13"/>
  <c r="I13" s="1"/>
  <c r="D12"/>
  <c r="I12" s="1"/>
  <c r="D11"/>
  <c r="I11" s="1"/>
  <c r="D10"/>
  <c r="I10" s="1"/>
  <c r="D9"/>
  <c r="F9" s="1"/>
  <c r="D8"/>
  <c r="I8" s="1"/>
  <c r="D7"/>
  <c r="I7" s="1"/>
  <c r="D6"/>
  <c r="I6" s="1"/>
  <c r="D5"/>
  <c r="I5" s="1"/>
  <c r="G18"/>
  <c r="E18"/>
  <c r="C18"/>
  <c r="F19" i="7"/>
  <c r="F18"/>
  <c r="G60"/>
  <c r="D56" i="2" l="1"/>
  <c r="C56"/>
  <c r="N185" i="11"/>
  <c r="C27" i="12"/>
  <c r="F5" i="10"/>
  <c r="F7"/>
  <c r="F11"/>
  <c r="F13"/>
  <c r="F15"/>
  <c r="D18"/>
  <c r="F6"/>
  <c r="F8"/>
  <c r="F10"/>
  <c r="F12"/>
  <c r="F14"/>
  <c r="F16"/>
  <c r="M184" i="11"/>
  <c r="K184"/>
  <c r="I9" i="10"/>
  <c r="I18" s="1"/>
  <c r="H18"/>
  <c r="G33" i="1"/>
  <c r="F18" i="10" l="1"/>
  <c r="D47" i="2"/>
  <c r="G19" i="1" s="1"/>
  <c r="C47" i="2"/>
  <c r="F19" i="1" s="1"/>
  <c r="D59" i="4"/>
  <c r="F18" i="3" s="1"/>
  <c r="C59" i="4"/>
  <c r="M17" i="9"/>
  <c r="K17"/>
  <c r="G17"/>
  <c r="M15"/>
  <c r="K15"/>
  <c r="G15"/>
  <c r="M13"/>
  <c r="K13"/>
  <c r="G13"/>
  <c r="J19"/>
  <c r="H19"/>
  <c r="F19"/>
  <c r="E19"/>
  <c r="D19"/>
  <c r="L17" l="1"/>
  <c r="L15"/>
  <c r="L13"/>
  <c r="I19"/>
  <c r="B1"/>
  <c r="M11"/>
  <c r="G11"/>
  <c r="M9"/>
  <c r="G9"/>
  <c r="G19" l="1"/>
  <c r="F31" i="1" s="1"/>
  <c r="M19" i="9"/>
  <c r="K9"/>
  <c r="K11"/>
  <c r="L11" s="1"/>
  <c r="K19" l="1"/>
  <c r="F32" i="1" s="1"/>
  <c r="F33" s="1"/>
  <c r="E17" i="3"/>
  <c r="L9" i="9"/>
  <c r="L19" s="1"/>
  <c r="D26" i="4" l="1"/>
  <c r="F10" i="3" s="1"/>
  <c r="C26" i="4"/>
  <c r="E10" i="3" s="1"/>
  <c r="D13" i="4"/>
  <c r="C13"/>
  <c r="D81" i="2"/>
  <c r="G39" i="1" s="1"/>
  <c r="C81" i="2"/>
  <c r="F39" i="1" s="1"/>
  <c r="D65" i="2"/>
  <c r="G37" i="1" s="1"/>
  <c r="C65" i="2"/>
  <c r="F37" i="1" s="1"/>
  <c r="C39" i="2"/>
  <c r="F17" i="1" s="1"/>
  <c r="D39" i="2"/>
  <c r="G17" i="1" s="1"/>
  <c r="F39" i="2"/>
  <c r="F44"/>
  <c r="F47" s="1"/>
  <c r="A2" i="3"/>
  <c r="B1"/>
  <c r="B1" i="2"/>
  <c r="B2" i="4" s="1"/>
  <c r="B1" i="13" s="1"/>
  <c r="E18" i="3" l="1"/>
  <c r="E20" s="1"/>
  <c r="I29" i="1"/>
  <c r="E44" i="3"/>
  <c r="E9"/>
  <c r="E12" s="1"/>
  <c r="F35" i="1"/>
  <c r="I20"/>
  <c r="F59" i="4"/>
  <c r="H17" i="3" s="1"/>
  <c r="F81" i="2"/>
  <c r="G35" i="1"/>
  <c r="F65" i="2"/>
  <c r="F69" i="4"/>
  <c r="H18" i="3" s="1"/>
  <c r="D69" i="4"/>
  <c r="H44" i="3"/>
  <c r="F78" i="4"/>
  <c r="F13"/>
  <c r="H9" i="3" s="1"/>
  <c r="H12" s="1"/>
  <c r="F26" i="4"/>
  <c r="D78"/>
  <c r="F9" i="3"/>
  <c r="F12" s="1"/>
  <c r="F75" i="2"/>
  <c r="F56"/>
  <c r="I38" i="1"/>
  <c r="I21"/>
  <c r="I15"/>
  <c r="I14"/>
  <c r="F32" i="2"/>
  <c r="I8" i="1"/>
  <c r="F44" i="3"/>
  <c r="I18" i="1"/>
  <c r="C75" i="2"/>
  <c r="F38" i="1" s="1"/>
  <c r="F41" l="1"/>
  <c r="I9"/>
  <c r="H20" i="3"/>
  <c r="H22" s="1"/>
  <c r="H27" s="1"/>
  <c r="H31" s="1"/>
  <c r="H37" s="1"/>
  <c r="H47" s="1"/>
  <c r="E22"/>
  <c r="C11" i="2" s="1"/>
  <c r="F20" i="3"/>
  <c r="F22" s="1"/>
  <c r="D27" i="2" s="1"/>
  <c r="I23" i="1"/>
  <c r="D75" i="2"/>
  <c r="G38" i="1" s="1"/>
  <c r="G41" s="1"/>
  <c r="D11" i="2" l="1"/>
  <c r="D29" s="1"/>
  <c r="D18"/>
  <c r="D30" s="1"/>
  <c r="F17" i="7"/>
  <c r="F21" s="1"/>
  <c r="H50" s="1"/>
  <c r="D55" s="1"/>
  <c r="C18" i="2"/>
  <c r="C27"/>
  <c r="E27" i="3"/>
  <c r="E31" s="1"/>
  <c r="E37" s="1"/>
  <c r="E47" s="1"/>
  <c r="F27"/>
  <c r="F31" s="1"/>
  <c r="F37" s="1"/>
  <c r="F47" s="1"/>
  <c r="D32" i="2" l="1"/>
  <c r="D13"/>
  <c r="D15" s="1"/>
  <c r="C10" s="1"/>
  <c r="C13" s="1"/>
  <c r="C15" s="1"/>
  <c r="D20"/>
  <c r="D22" s="1"/>
  <c r="C17" s="1"/>
  <c r="C20" s="1"/>
  <c r="C22" s="1"/>
  <c r="D56" i="7"/>
  <c r="G56" s="1"/>
  <c r="G58" s="1"/>
  <c r="H60" s="1"/>
  <c r="C29" i="2"/>
  <c r="C30"/>
  <c r="G10" i="1" l="1"/>
  <c r="F10"/>
  <c r="F22" i="7"/>
  <c r="H23" s="1"/>
  <c r="H25" s="1"/>
  <c r="H26" s="1"/>
  <c r="F29" s="1"/>
  <c r="F30" s="1"/>
  <c r="F32" s="1"/>
  <c r="F33" s="1"/>
  <c r="I60"/>
  <c r="H63"/>
  <c r="C32" i="2"/>
  <c r="F11" i="1" s="1"/>
  <c r="G26" l="1"/>
  <c r="J42" s="1"/>
  <c r="F26"/>
  <c r="J43" s="1"/>
</calcChain>
</file>

<file path=xl/sharedStrings.xml><?xml version="1.0" encoding="utf-8"?>
<sst xmlns="http://schemas.openxmlformats.org/spreadsheetml/2006/main" count="739" uniqueCount="416">
  <si>
    <t>Particulars</t>
  </si>
  <si>
    <t>Note No.</t>
  </si>
  <si>
    <t>(1)</t>
  </si>
  <si>
    <t>(2)</t>
  </si>
  <si>
    <t>TOTAL</t>
  </si>
  <si>
    <t>ASSETS</t>
  </si>
  <si>
    <t>Trade Payables</t>
  </si>
  <si>
    <t>Other Current Liabilities</t>
  </si>
  <si>
    <t>Total Expenses</t>
  </si>
  <si>
    <t>Finance Costs</t>
  </si>
  <si>
    <t>Other Borrowing Costs</t>
  </si>
  <si>
    <t>Interest Income</t>
  </si>
  <si>
    <t>Dividend Income</t>
  </si>
  <si>
    <t>PARTICULARS</t>
  </si>
  <si>
    <t>GROSS BLOCK</t>
  </si>
  <si>
    <t>DEPRECIATION BLOCK</t>
  </si>
  <si>
    <t>NET BLOCK</t>
  </si>
  <si>
    <t>S.NO.</t>
  </si>
  <si>
    <t>ADDITIONS DURING THE YEAR</t>
  </si>
  <si>
    <t>FOR THE YEAR</t>
  </si>
  <si>
    <t xml:space="preserve">TOTAL </t>
  </si>
  <si>
    <t>Previous Year</t>
  </si>
  <si>
    <t>Revenue From Operations</t>
  </si>
  <si>
    <t>Trade Receivables</t>
  </si>
  <si>
    <t>As at</t>
  </si>
  <si>
    <t>I.</t>
  </si>
  <si>
    <t>II.</t>
  </si>
  <si>
    <t>See accompanying notes to the financial statements</t>
  </si>
  <si>
    <t>For and on behalf of the Board</t>
  </si>
  <si>
    <t>Auditors' Report</t>
  </si>
  <si>
    <t>As per our report of even date attached</t>
  </si>
  <si>
    <t>Chartered Accountants</t>
  </si>
  <si>
    <t>Year Ended</t>
  </si>
  <si>
    <t>Revenue from Operations</t>
  </si>
  <si>
    <t>Other Incomes</t>
  </si>
  <si>
    <t>Total Revenue (I + II)</t>
  </si>
  <si>
    <t>Other Expenses</t>
  </si>
  <si>
    <t>V.</t>
  </si>
  <si>
    <t>Profit before Exceptional and Extraordinary</t>
  </si>
  <si>
    <t>Items and Tax (III - IV)</t>
  </si>
  <si>
    <t>Exceptional Items</t>
  </si>
  <si>
    <t>Profit before Extraordinary Items and Tax (V - VI)</t>
  </si>
  <si>
    <t>VI.</t>
  </si>
  <si>
    <t>VII.</t>
  </si>
  <si>
    <t>VIII.</t>
  </si>
  <si>
    <t>IX.</t>
  </si>
  <si>
    <t>X.</t>
  </si>
  <si>
    <t>Extra Ordinary Items</t>
  </si>
  <si>
    <t>Profit before Tax (VII - VIII)</t>
  </si>
  <si>
    <t>Tax Expense:</t>
  </si>
  <si>
    <t>(1) Current tax</t>
  </si>
  <si>
    <t>(2) Deferred Tax</t>
  </si>
  <si>
    <t>XII.</t>
  </si>
  <si>
    <t>Profit/Loss from Discontinuing Operations</t>
  </si>
  <si>
    <t>XIII.</t>
  </si>
  <si>
    <t>XIV.</t>
  </si>
  <si>
    <t>Tax Expense of Discontinuing Operations</t>
  </si>
  <si>
    <t>Profit/ (Loss) for the period from Continuing</t>
  </si>
  <si>
    <t>Profit/ (Loss) from Discontinuing Operations (after Tax)</t>
  </si>
  <si>
    <t>(XII - XIII)</t>
  </si>
  <si>
    <t>Profit/ (Loss) for the Period (XI + XIV)</t>
  </si>
  <si>
    <t>Annexures to the Balance Sheet</t>
  </si>
  <si>
    <t>NOTE # 1</t>
  </si>
  <si>
    <t>NOTE # 2</t>
  </si>
  <si>
    <t>NOTE # 3</t>
  </si>
  <si>
    <t>NOTE # 4</t>
  </si>
  <si>
    <t>NOTE # 6</t>
  </si>
  <si>
    <t>NOTE # 7</t>
  </si>
  <si>
    <t>NOTE # 8</t>
  </si>
  <si>
    <t>NOTE # 9</t>
  </si>
  <si>
    <t>Cash and Cash Equivalents</t>
  </si>
  <si>
    <t>Other Long-Term Liabilities</t>
  </si>
  <si>
    <t/>
  </si>
  <si>
    <t>SALE /    DISPOSAL DURING THE YEAR</t>
  </si>
  <si>
    <t>ADJUSTMENT</t>
  </si>
  <si>
    <t>Long-Term Loans and Advances</t>
  </si>
  <si>
    <t>Unsecured, Considered Good</t>
  </si>
  <si>
    <t>- Outstanding for a period exceeding six months</t>
  </si>
  <si>
    <t>Balance with Banks</t>
  </si>
  <si>
    <t>Cash on Hand</t>
  </si>
  <si>
    <t>Interest Expense</t>
  </si>
  <si>
    <t xml:space="preserve">Applicable Net (Gain)/ Loss on Foreign </t>
  </si>
  <si>
    <t>Net Gain/ (Loss) on sale of Investments</t>
  </si>
  <si>
    <t>Other Non-Operating Income</t>
  </si>
  <si>
    <t>Salaries and Wages</t>
  </si>
  <si>
    <r>
      <t>Other Current Assets</t>
    </r>
    <r>
      <rPr>
        <sz val="10"/>
        <rFont val="Arial"/>
        <family val="2"/>
      </rPr>
      <t xml:space="preserve"> (Residual Head)</t>
    </r>
  </si>
  <si>
    <t>Director</t>
  </si>
  <si>
    <t>Annexures to the Profit &amp; Loss Statement</t>
  </si>
  <si>
    <t>Miscellaneous Expenses Written Off</t>
  </si>
  <si>
    <t>Loss on sale of Fixed Assets</t>
  </si>
  <si>
    <t xml:space="preserve">Forex (Gain)/ Loss on Restatement of Items other   </t>
  </si>
  <si>
    <t>than Foreign Currency Borrowings</t>
  </si>
  <si>
    <t>Currency Borrowings</t>
  </si>
  <si>
    <t>(Rupees )</t>
  </si>
  <si>
    <t>(SH. HARKIRAT SINGH)</t>
  </si>
  <si>
    <t>31st March, 2012</t>
  </si>
  <si>
    <t>(HARKIRAT SINGH)</t>
  </si>
  <si>
    <t>Short &amp; Excess</t>
  </si>
  <si>
    <t>Share of Profit from Partnership firm</t>
  </si>
  <si>
    <t>Rental Income</t>
  </si>
  <si>
    <t xml:space="preserve">NOTE # </t>
  </si>
  <si>
    <t>NOTE # 10</t>
  </si>
  <si>
    <t>Place: New Delhi</t>
  </si>
  <si>
    <t>Date:</t>
  </si>
  <si>
    <t>Operations</t>
  </si>
  <si>
    <t>VI</t>
  </si>
  <si>
    <t>CONTRIBUTION &amp; LIABILITIES</t>
  </si>
  <si>
    <t>Partner's Fund</t>
  </si>
  <si>
    <t>(a) Contribution</t>
  </si>
  <si>
    <t>Liabilities</t>
  </si>
  <si>
    <t>a) Secured Loans</t>
  </si>
  <si>
    <t>b) Unsecured Loans</t>
  </si>
  <si>
    <t>c) Short Term Borrowings</t>
  </si>
  <si>
    <t>d) Creditors/Trade Payables</t>
  </si>
  <si>
    <t xml:space="preserve">    - Advance From Customers</t>
  </si>
  <si>
    <t>e) Other Liabilities (to specify)</t>
  </si>
  <si>
    <t>f) Provisions</t>
  </si>
  <si>
    <t xml:space="preserve">   (i) for Taxation</t>
  </si>
  <si>
    <t xml:space="preserve">   (ii) for Contingencies</t>
  </si>
  <si>
    <t xml:space="preserve">   (iii) for Insurance</t>
  </si>
  <si>
    <t xml:space="preserve">   (iv) Other Provisions (if any)</t>
  </si>
  <si>
    <t xml:space="preserve">     Less: Depreciation</t>
  </si>
  <si>
    <t xml:space="preserve">     Net Fixed Assets</t>
  </si>
  <si>
    <t xml:space="preserve">a) </t>
  </si>
  <si>
    <t>Gross Fixed Assets</t>
  </si>
  <si>
    <t>b) Investments</t>
  </si>
  <si>
    <t>c) Loans and Advances</t>
  </si>
  <si>
    <t>d) Inventories</t>
  </si>
  <si>
    <t>e) Debtors/Trade Receivables</t>
  </si>
  <si>
    <t>f) Cash &amp; Cash Equivalents</t>
  </si>
  <si>
    <t>g) Other Assets (to specify)</t>
  </si>
  <si>
    <t>EXPENSES</t>
  </si>
  <si>
    <t>Raw Material Consumed</t>
  </si>
  <si>
    <t>Depreciation</t>
  </si>
  <si>
    <t>Ill.</t>
  </si>
  <si>
    <t>Partner Capital Account</t>
  </si>
  <si>
    <t>Add : Share of Profit / (Loss) in LLP @ 90%</t>
  </si>
  <si>
    <t xml:space="preserve">(a) Surplus in Statement of Profit &amp; Loss </t>
  </si>
  <si>
    <t>Profit for the Year</t>
  </si>
  <si>
    <t>Less : Utilized During the year</t>
  </si>
  <si>
    <t>(b) reserve &amp; Surplus</t>
  </si>
  <si>
    <t>Statutory Dues Payable</t>
  </si>
  <si>
    <t xml:space="preserve">Loan Recoverable in Cash or Kind </t>
  </si>
  <si>
    <t>- Outstanding for a period Less than six months</t>
  </si>
  <si>
    <t>TDS Receivable</t>
  </si>
  <si>
    <t>Purchase TV/FM Advertisement</t>
  </si>
  <si>
    <t>Other Administrative and Employee Benefit Expenses</t>
  </si>
  <si>
    <t>Postage &amp; Courier Charges</t>
  </si>
  <si>
    <t>Business Promotion Expenses</t>
  </si>
  <si>
    <t>Conveyance Exp</t>
  </si>
  <si>
    <t>Designing &amp; Editing (Advt)</t>
  </si>
  <si>
    <t>Food &amp; Refreshment Exp</t>
  </si>
  <si>
    <t>Legal Expenses</t>
  </si>
  <si>
    <t>Misc. Exp</t>
  </si>
  <si>
    <t>Printing &amp; Stationary Exp</t>
  </si>
  <si>
    <t>Rent Exp</t>
  </si>
  <si>
    <t>Telephone and Internet Exp</t>
  </si>
  <si>
    <t>Office Equipment</t>
  </si>
  <si>
    <t>Partner</t>
  </si>
  <si>
    <t>NOTE # 5</t>
  </si>
  <si>
    <t>NOTE # 11</t>
  </si>
  <si>
    <t>NOTE # 12</t>
  </si>
  <si>
    <t>NAME OF FIRM</t>
  </si>
  <si>
    <t>:</t>
  </si>
  <si>
    <t xml:space="preserve"> ADDRESS</t>
  </si>
  <si>
    <t>DATE OF INCORPORATION</t>
  </si>
  <si>
    <t>PREVIOUS YEAR</t>
  </si>
  <si>
    <t>ASSTT YEAR</t>
  </si>
  <si>
    <t>2015-16</t>
  </si>
  <si>
    <t>PAN/GIR NO.</t>
  </si>
  <si>
    <t>STATUS</t>
  </si>
  <si>
    <t>LLP</t>
  </si>
  <si>
    <t>BANK A/C NO.</t>
  </si>
  <si>
    <t>COMPUTATION OF INCOME</t>
  </si>
  <si>
    <t>AMOUNT</t>
  </si>
  <si>
    <t>(Rs.)</t>
  </si>
  <si>
    <t>Add : Penalty</t>
  </si>
  <si>
    <t>Add : Interest on TDS</t>
  </si>
  <si>
    <t>Taxable Income</t>
  </si>
  <si>
    <t>Rounded off to</t>
  </si>
  <si>
    <t>Tax Payable</t>
  </si>
  <si>
    <t>Add : Education Cess @ 3%</t>
  </si>
  <si>
    <t>TDS RECEIVABLE</t>
  </si>
  <si>
    <t>Balance</t>
  </si>
  <si>
    <t>TAX REFUNDABLE</t>
  </si>
  <si>
    <t>NET CARRYING AMOUNT AS ON  31.03.2016</t>
  </si>
  <si>
    <t>Computer &amp; Printers</t>
  </si>
  <si>
    <t>Furniture &amp; Fixtures</t>
  </si>
  <si>
    <t>Invertor &amp; Battery</t>
  </si>
  <si>
    <t>LED TV</t>
  </si>
  <si>
    <t>31st March, 2016</t>
  </si>
  <si>
    <t>Audit Fees</t>
  </si>
  <si>
    <t>Bank Charges</t>
  </si>
  <si>
    <t>Festival Expenses</t>
  </si>
  <si>
    <t>Interest on Service Tax</t>
  </si>
  <si>
    <t>Interest on TDS</t>
  </si>
  <si>
    <t>Electricity Expenses</t>
  </si>
  <si>
    <t>Office Expenses</t>
  </si>
  <si>
    <t>Creative Expenses</t>
  </si>
  <si>
    <t>Rebate &amp; Discount</t>
  </si>
  <si>
    <t>Staff Welfare Expenses</t>
  </si>
  <si>
    <t xml:space="preserve">SBC </t>
  </si>
  <si>
    <t>Penalty on TDS</t>
  </si>
  <si>
    <t>Expenses Payable</t>
  </si>
  <si>
    <t>Add : Addition During the year</t>
  </si>
  <si>
    <t>Less : Drawing made during the year</t>
  </si>
  <si>
    <t>Total</t>
  </si>
  <si>
    <t>Security (Rent)</t>
  </si>
  <si>
    <t>2016-17</t>
  </si>
  <si>
    <t>INCOME FROM BUSINESS &amp; PROFESSION</t>
  </si>
  <si>
    <t>Net Profit From Profit &amp; Loss Account</t>
  </si>
  <si>
    <t>Add : Salary  to Partners</t>
  </si>
  <si>
    <t>Less : Salary allowable U/s 40-b</t>
  </si>
  <si>
    <t xml:space="preserve">          (As per statement enclosed)</t>
  </si>
  <si>
    <t>Statement of partners remuneration allowable u/s 40-b</t>
  </si>
  <si>
    <t xml:space="preserve">Net Profit before remuneration </t>
  </si>
  <si>
    <t>Remuneration Allowable U/s 40-b</t>
  </si>
  <si>
    <t>First</t>
  </si>
  <si>
    <t>@ 90%</t>
  </si>
  <si>
    <t>Second</t>
  </si>
  <si>
    <t>@ 60%</t>
  </si>
  <si>
    <t>Remuneration Paid</t>
  </si>
  <si>
    <t xml:space="preserve">Net Profit after remuneration </t>
  </si>
  <si>
    <t>month</t>
  </si>
  <si>
    <t>purchase</t>
  </si>
  <si>
    <t>balance</t>
  </si>
  <si>
    <t>total</t>
  </si>
  <si>
    <t>tds to be deducted</t>
  </si>
  <si>
    <t>tds deducted</t>
  </si>
  <si>
    <t>deposited</t>
  </si>
  <si>
    <t>difference</t>
  </si>
  <si>
    <t>Grand Total</t>
  </si>
  <si>
    <t>Zee Media Corporation Ltd</t>
  </si>
  <si>
    <t>TV18 Broadcast Ltd</t>
  </si>
  <si>
    <t>Ibroad Connect Pvt Ltd</t>
  </si>
  <si>
    <t>News24 Broadcast India Ltd</t>
  </si>
  <si>
    <t>Panorama Television Pvt Ltd</t>
  </si>
  <si>
    <t>Mail Today Newspapers Pvt Ltd</t>
  </si>
  <si>
    <t>IBroad7 Communication Pvt Ltd</t>
  </si>
  <si>
    <t>TV TODAY NETWORK LTD</t>
  </si>
  <si>
    <t>Khushi Advertising Ideas Pvt Ltd</t>
  </si>
  <si>
    <t>Hindustan Media Ventures Ltd</t>
  </si>
  <si>
    <t>Jagran Prakashan Ltd</t>
  </si>
  <si>
    <t>ASIANET COMMUNICATION LTD</t>
  </si>
  <si>
    <t>Eg Communications Pvt Ltd</t>
  </si>
  <si>
    <t>Adholics</t>
  </si>
  <si>
    <t>Etcetera Entertainment</t>
  </si>
  <si>
    <t>Innov Media</t>
  </si>
  <si>
    <t>KAL RADIO LIMITED</t>
  </si>
  <si>
    <t>ASIANET News Network Pvt Ltd</t>
  </si>
  <si>
    <t>Music Broadcast Pvt Ltd</t>
  </si>
  <si>
    <t>Swachh Bharat Cess @0.50 Input</t>
  </si>
  <si>
    <t>Purchase Other Advertisement</t>
  </si>
  <si>
    <t>Service Tax Input 14%</t>
  </si>
  <si>
    <t>Sec &amp; Higher Edu Cess Input</t>
  </si>
  <si>
    <t>Edu.Cess Input on ST 2%</t>
  </si>
  <si>
    <t>Service Tax Input  12 %</t>
  </si>
  <si>
    <t>Gross Total</t>
  </si>
  <si>
    <t>Date</t>
  </si>
  <si>
    <t>tds deposited</t>
  </si>
  <si>
    <t>Row Labels</t>
  </si>
  <si>
    <t>Values</t>
  </si>
  <si>
    <t>Sum of tds to be deducted</t>
  </si>
  <si>
    <t>Sum of tds deducted</t>
  </si>
  <si>
    <t>Sum of difference</t>
  </si>
  <si>
    <t>Advertisement Service</t>
  </si>
  <si>
    <t>Sum of Advertisement Service</t>
  </si>
  <si>
    <t>TRADE PAYABLE</t>
  </si>
  <si>
    <t>ADVANCE TO SUPPLIERS</t>
  </si>
  <si>
    <t>STATUTORY DUES</t>
  </si>
  <si>
    <t>Service Tax Payable</t>
  </si>
  <si>
    <t>SBC Payable</t>
  </si>
  <si>
    <t>TDS on Rent</t>
  </si>
  <si>
    <t>TDS on Contractors</t>
  </si>
  <si>
    <t>EXPENSES PAYABLE</t>
  </si>
  <si>
    <t>Accounting Charges payable</t>
  </si>
  <si>
    <t>Audit Fees Payable</t>
  </si>
  <si>
    <t>Legal Expenses payable</t>
  </si>
  <si>
    <t>Hathway Cable &amp; Datacom Ltd</t>
  </si>
  <si>
    <t>Salary Payable</t>
  </si>
  <si>
    <t>Telephone and Internet Exp Payable</t>
  </si>
  <si>
    <t>Loan &amp; Advances</t>
  </si>
  <si>
    <t>Saransh Kathuriya (Security)</t>
  </si>
  <si>
    <t>Security Rent</t>
  </si>
  <si>
    <t>Sundry Debtors</t>
  </si>
  <si>
    <t>Advance from Customers</t>
  </si>
  <si>
    <t>Bank Balance</t>
  </si>
  <si>
    <t>HDFC BANK A/C NO 5020000783061</t>
  </si>
  <si>
    <t>Kotak Mahindra Bank Ltd</t>
  </si>
  <si>
    <t>Advance to suppliers</t>
  </si>
  <si>
    <t>Aduniverse Media LLP</t>
  </si>
  <si>
    <t>1-Apr-2015 to 31-Mar-2016</t>
  </si>
  <si>
    <t>1-Apr-2014 to 31-Mar-2015</t>
  </si>
  <si>
    <t>Opening</t>
  </si>
  <si>
    <t>Transactions</t>
  </si>
  <si>
    <t>Closing</t>
  </si>
  <si>
    <t>Debit</t>
  </si>
  <si>
    <t>Credit</t>
  </si>
  <si>
    <t>Capital Account</t>
  </si>
  <si>
    <t>Ajay Kumar Sharma Capital Ac</t>
  </si>
  <si>
    <t>Ajay Kumar Sharma (Partner)</t>
  </si>
  <si>
    <t>Arun Kumar Sharma Capital Account</t>
  </si>
  <si>
    <t>Current Liabilities</t>
  </si>
  <si>
    <t>Duties &amp; Taxes</t>
  </si>
  <si>
    <t>Edu Cess Output 2%</t>
  </si>
  <si>
    <t>Provision for Service Tax Payble</t>
  </si>
  <si>
    <t>Sec High Edu Cess Output 1%</t>
  </si>
  <si>
    <t>SERVICE TAX Output 12 %</t>
  </si>
  <si>
    <t>Service Tax Output 14%</t>
  </si>
  <si>
    <t>Swahh Bharat Cess@0.50%</t>
  </si>
  <si>
    <t>TDS U/S 94C</t>
  </si>
  <si>
    <t>Sundry Creditors</t>
  </si>
  <si>
    <t>Expense Payable</t>
  </si>
  <si>
    <t>ACCOUNTING CHARGES PAYABLE</t>
  </si>
  <si>
    <t>AUDIT FEES PAYABLE</t>
  </si>
  <si>
    <t>Fixed Assets</t>
  </si>
  <si>
    <t>FURNITURE &amp; FIXTURES</t>
  </si>
  <si>
    <t>Inverter</t>
  </si>
  <si>
    <t>Laptop-Apple</t>
  </si>
  <si>
    <t>Luminous-Battery</t>
  </si>
  <si>
    <t>Printer</t>
  </si>
  <si>
    <t>Current Assets</t>
  </si>
  <si>
    <t>Loans &amp; Advances (Asset)</t>
  </si>
  <si>
    <t>Security for Rent</t>
  </si>
  <si>
    <t>Cash-in-hand</t>
  </si>
  <si>
    <t>Cash</t>
  </si>
  <si>
    <t>Bank Accounts</t>
  </si>
  <si>
    <t>Sales Accounts</t>
  </si>
  <si>
    <t>Sales Other Advertisement</t>
  </si>
  <si>
    <t>SALES PRINT ADVERTISEMENT</t>
  </si>
  <si>
    <t>SALES TV/FM ADVERTISEMENT</t>
  </si>
  <si>
    <t>Purchase Accounts</t>
  </si>
  <si>
    <t>Purchase Radio/TV Advertisement Service</t>
  </si>
  <si>
    <t>Indirect Expenses</t>
  </si>
  <si>
    <t>Administrative &amp; Other Exp.</t>
  </si>
  <si>
    <t>Interest &amp; Penalty</t>
  </si>
  <si>
    <t>ACCOUNTING CHARGES</t>
  </si>
  <si>
    <t>AUDIT FEES</t>
  </si>
  <si>
    <t>Bonus &amp; Incentives</t>
  </si>
  <si>
    <t>COMPUTER MAINTENANCE</t>
  </si>
  <si>
    <t>CREATIVE EXPENSES</t>
  </si>
  <si>
    <t>Domain Exp</t>
  </si>
  <si>
    <t>Editing Exp</t>
  </si>
  <si>
    <t>Electricity Exp</t>
  </si>
  <si>
    <t>Festival Exp</t>
  </si>
  <si>
    <t>Office Exp</t>
  </si>
  <si>
    <t>POSTAGE &amp; COURIER EXP</t>
  </si>
  <si>
    <t>RENT EXP</t>
  </si>
  <si>
    <t>Salary A/c</t>
  </si>
  <si>
    <t>Staff Welfare Exp</t>
  </si>
  <si>
    <t>Finance Cost</t>
  </si>
  <si>
    <t>Selling &amp; Distributon Exp</t>
  </si>
  <si>
    <t>Business Promotion Exp</t>
  </si>
  <si>
    <t>Depreciation A/c</t>
  </si>
  <si>
    <t>Profit &amp; Loss A/c</t>
  </si>
  <si>
    <t>09.12.2014</t>
  </si>
  <si>
    <t>SALARY OF RS. 25000/- PAYALE TO AJAY AND ARUN</t>
  </si>
  <si>
    <t>BUSINESS LOAN TERM PLAN</t>
  </si>
  <si>
    <t>SERVICE TAX RETURN TO BE CHECKED</t>
  </si>
  <si>
    <t>TDS ON RENT TO BE CHECKED OF RS. 1400 TO SIDHARATHA TYAGI</t>
  </si>
  <si>
    <t>TDS ON CONTRACTOR GOING NEGATIVE</t>
  </si>
  <si>
    <t>SUNDRY CREDTIORS BALANCE TO BE CONFIRMED</t>
  </si>
  <si>
    <t xml:space="preserve">INTERNET EXPENSES PAYABLE </t>
  </si>
  <si>
    <t>SALARY EXPENSES TO BE CLEARED</t>
  </si>
  <si>
    <t>PROVISION FOR SERVICE TAX TO BE CLEARED</t>
  </si>
  <si>
    <t>DEPRECIATION ENTRY TO BE PASSED</t>
  </si>
  <si>
    <t>SARANSH KATHURIYA SERCURITY TO BE TRFD TO ARUN SHARMA CAP</t>
  </si>
  <si>
    <t>TDS RECEIVABLE OF LAST YEAR TO BE CLEARED</t>
  </si>
  <si>
    <t>TDS RECEIVABLE OF CURRENT YEAR TO BE CHECKED</t>
  </si>
  <si>
    <t>SUNDRY DEBTORS TO BE CLEARED</t>
  </si>
  <si>
    <t>BRS TO BE CHECKED</t>
  </si>
  <si>
    <t>CASH IN HAND BALANCE TO BE CHECKED</t>
  </si>
  <si>
    <t>SUSPENSE ENTRY TO BE CLEARED</t>
  </si>
  <si>
    <t>SERVICE CHARGES TO BE CHECKED WHETHER IT CORELATED WITH INCOME</t>
  </si>
  <si>
    <t>FORM 26AS FOR A.Y. 17-18 TO BE CHECKED</t>
  </si>
  <si>
    <t>CREATIVE EXPENSES OF RS. 75K BILL REQD</t>
  </si>
  <si>
    <t>CASH PAID OF RS. 50K TO RITESH KR DUBEY</t>
  </si>
  <si>
    <t>INTEREST ON TDS TO BE ADDED BACK</t>
  </si>
  <si>
    <t>EDITING CHARGES OF RS. 43 K SHOWN IN CASH WHY AND BILL REQD OF ALL PARTIES</t>
  </si>
  <si>
    <t>2017-18</t>
  </si>
  <si>
    <t>Assessment Year : 2017-2018</t>
  </si>
  <si>
    <t>Statement of Assets &amp; Liabilities as at 31st March; 2017</t>
  </si>
  <si>
    <t>31st March, 2017</t>
  </si>
  <si>
    <t>Statement of Income &amp; Expenditure for the period
from 01.04.2016 to 31.03.2017</t>
  </si>
  <si>
    <t>GROUPING FOR THE F.Y. 2016-17</t>
  </si>
  <si>
    <t>Tangible Assets as on 31st March 2017</t>
  </si>
  <si>
    <t>COST AS ON 01.04.2016</t>
  </si>
  <si>
    <t>TOTAL  AS ON 31.03.2017</t>
  </si>
  <si>
    <t>UPTO 01.04.2016</t>
  </si>
  <si>
    <t>UPTO 31.03.2017</t>
  </si>
  <si>
    <t>NET CARRYING AMOUNT AS ON  31.03.2017</t>
  </si>
  <si>
    <t>KKC Payable</t>
  </si>
  <si>
    <t>Repair &amp; Maintenenace</t>
  </si>
  <si>
    <t>Interest on Loan</t>
  </si>
  <si>
    <t>Processing Fees</t>
  </si>
  <si>
    <t>Electricity Expenses Payable</t>
  </si>
  <si>
    <t>(PROPRIETOR)</t>
  </si>
  <si>
    <t xml:space="preserve">M/S XYZ </t>
  </si>
  <si>
    <t xml:space="preserve">Add: </t>
  </si>
  <si>
    <t>PAN</t>
  </si>
  <si>
    <t>HDFC A/C NO 502000********</t>
  </si>
  <si>
    <t>IFSC-HDFC0000*****</t>
  </si>
  <si>
    <t>M/S XYZ</t>
  </si>
  <si>
    <t>Registered office: GAUTAM BUDH NAGAR,UP 20100</t>
  </si>
  <si>
    <t>For abcd &amp; Associates</t>
  </si>
  <si>
    <t>(msy)</t>
  </si>
  <si>
    <t>(M. No. 533***)</t>
  </si>
  <si>
    <t>Firm Regn No 0*****N</t>
  </si>
  <si>
    <t>MR X CAPITAL A/C</t>
  </si>
  <si>
    <t>Mr Y CAPITAL A/C</t>
  </si>
  <si>
    <t>Less : Share of Profit - x</t>
  </si>
  <si>
    <t>Less : Share of Profit - y</t>
  </si>
  <si>
    <t>ABCD Ltd</t>
  </si>
  <si>
    <t xml:space="preserve">HDFC BANK A/C NO </t>
  </si>
  <si>
    <t>xyz</t>
  </si>
  <si>
    <t xml:space="preserve">Sales </t>
  </si>
</sst>
</file>

<file path=xl/styles.xml><?xml version="1.0" encoding="utf-8"?>
<styleSheet xmlns="http://schemas.openxmlformats.org/spreadsheetml/2006/main">
  <numFmts count="11">
    <numFmt numFmtId="164" formatCode="_ * #,##0.00_ ;_ * \-#,##0.00_ ;_ * &quot;-&quot;??_ ;_ @_ "/>
    <numFmt numFmtId="165" formatCode="_-* #,##0.00_-;\-* #,##0.00_-;_-* &quot;-&quot;??_-;_-@_-"/>
    <numFmt numFmtId="166" formatCode="_(* #,##0_);_(* \(#,##0\);_(* &quot;-&quot;??_);_(@_)"/>
    <numFmt numFmtId="167" formatCode="_(* #,##0.00_);_(* \(#,##0.00\);_(* \-??_);_(@_)"/>
    <numFmt numFmtId="168" formatCode="[$-14009]dd\-mm\-yyyy;@"/>
    <numFmt numFmtId="169" formatCode="[$-409]mmm/yy;@"/>
    <numFmt numFmtId="170" formatCode="dd\/mm\/yyyy"/>
    <numFmt numFmtId="171" formatCode="&quot;&quot;0.00&quot; Cr&quot;"/>
    <numFmt numFmtId="172" formatCode="&quot;&quot;0.00"/>
    <numFmt numFmtId="173" formatCode="&quot;&quot;0.00&quot; Dr&quot;"/>
    <numFmt numFmtId="174" formatCode="#,##0.00_ ;\-#,##0.00\ "/>
  </numFmts>
  <fonts count="3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u/>
      <sz val="10"/>
      <color theme="1"/>
      <name val="Book Antiqua"/>
      <family val="1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</font>
    <font>
      <sz val="10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5">
    <xf numFmtId="0" fontId="0" fillId="0" borderId="0"/>
    <xf numFmtId="165" fontId="5" fillId="0" borderId="0" applyFont="0" applyFill="0" applyBorder="0" applyAlignment="0" applyProtection="0"/>
    <xf numFmtId="167" fontId="8" fillId="0" borderId="0" applyFill="0" applyBorder="0" applyAlignment="0" applyProtection="0"/>
    <xf numFmtId="0" fontId="8" fillId="0" borderId="0"/>
    <xf numFmtId="168" fontId="4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345">
    <xf numFmtId="0" fontId="0" fillId="0" borderId="0" xfId="0"/>
    <xf numFmtId="0" fontId="6" fillId="0" borderId="0" xfId="0" applyFont="1"/>
    <xf numFmtId="0" fontId="0" fillId="0" borderId="0" xfId="0" applyBorder="1"/>
    <xf numFmtId="0" fontId="0" fillId="0" borderId="0" xfId="0" applyFill="1" applyBorder="1"/>
    <xf numFmtId="0" fontId="6" fillId="0" borderId="0" xfId="0" applyFont="1" applyFill="1" applyBorder="1"/>
    <xf numFmtId="165" fontId="6" fillId="0" borderId="0" xfId="0" applyNumberFormat="1" applyFont="1" applyFill="1" applyBorder="1"/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horizontal="center"/>
    </xf>
    <xf numFmtId="0" fontId="8" fillId="0" borderId="0" xfId="0" applyFont="1" applyFill="1" applyBorder="1"/>
    <xf numFmtId="10" fontId="8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165" fontId="8" fillId="0" borderId="0" xfId="0" applyNumberFormat="1" applyFont="1" applyFill="1" applyBorder="1"/>
    <xf numFmtId="165" fontId="8" fillId="0" borderId="0" xfId="1" applyFont="1" applyFill="1" applyBorder="1"/>
    <xf numFmtId="0" fontId="6" fillId="0" borderId="0" xfId="0" applyFont="1" applyFill="1"/>
    <xf numFmtId="165" fontId="0" fillId="0" borderId="0" xfId="1" applyFont="1"/>
    <xf numFmtId="165" fontId="8" fillId="0" borderId="0" xfId="1" applyFont="1"/>
    <xf numFmtId="165" fontId="0" fillId="0" borderId="0" xfId="1" applyFont="1" applyBorder="1"/>
    <xf numFmtId="165" fontId="6" fillId="0" borderId="0" xfId="1" applyFont="1" applyFill="1" applyAlignment="1">
      <alignment horizontal="center"/>
    </xf>
    <xf numFmtId="165" fontId="8" fillId="0" borderId="0" xfId="1" applyFont="1" applyFill="1" applyAlignment="1">
      <alignment horizontal="right"/>
    </xf>
    <xf numFmtId="165" fontId="0" fillId="0" borderId="0" xfId="1" applyFont="1" applyAlignment="1"/>
    <xf numFmtId="165" fontId="6" fillId="0" borderId="2" xfId="1" applyFont="1" applyFill="1" applyBorder="1" applyAlignment="1">
      <alignment horizontal="center"/>
    </xf>
    <xf numFmtId="0" fontId="6" fillId="0" borderId="0" xfId="0" applyFont="1" applyFill="1" applyBorder="1" applyAlignment="1">
      <alignment vertical="center" wrapText="1"/>
    </xf>
    <xf numFmtId="165" fontId="0" fillId="0" borderId="3" xfId="1" applyFont="1" applyBorder="1" applyAlignment="1"/>
    <xf numFmtId="165" fontId="13" fillId="0" borderId="0" xfId="1" applyFont="1" applyAlignment="1">
      <alignment horizontal="center"/>
    </xf>
    <xf numFmtId="165" fontId="13" fillId="0" borderId="0" xfId="1" applyFont="1"/>
    <xf numFmtId="165" fontId="12" fillId="0" borderId="0" xfId="1" applyFont="1" applyFill="1" applyAlignment="1">
      <alignment horizontal="center"/>
    </xf>
    <xf numFmtId="165" fontId="13" fillId="0" borderId="0" xfId="1" applyFont="1" applyFill="1" applyAlignment="1">
      <alignment horizontal="right"/>
    </xf>
    <xf numFmtId="165" fontId="16" fillId="0" borderId="0" xfId="1" applyFont="1" applyAlignment="1">
      <alignment horizontal="center"/>
    </xf>
    <xf numFmtId="165" fontId="16" fillId="0" borderId="0" xfId="1" applyFont="1"/>
    <xf numFmtId="165" fontId="16" fillId="0" borderId="4" xfId="1" applyFont="1" applyBorder="1" applyAlignment="1">
      <alignment horizontal="center"/>
    </xf>
    <xf numFmtId="165" fontId="16" fillId="0" borderId="0" xfId="1" applyFont="1" applyBorder="1" applyAlignment="1">
      <alignment horizontal="center"/>
    </xf>
    <xf numFmtId="165" fontId="6" fillId="0" borderId="0" xfId="1" applyFont="1" applyFill="1" applyBorder="1"/>
    <xf numFmtId="165" fontId="6" fillId="0" borderId="1" xfId="1" applyFont="1" applyFill="1" applyBorder="1" applyAlignment="1">
      <alignment horizontal="right"/>
    </xf>
    <xf numFmtId="165" fontId="0" fillId="0" borderId="4" xfId="1" applyFont="1" applyBorder="1"/>
    <xf numFmtId="165" fontId="6" fillId="0" borderId="2" xfId="1" applyFont="1" applyFill="1" applyBorder="1"/>
    <xf numFmtId="165" fontId="0" fillId="0" borderId="3" xfId="1" applyFont="1" applyBorder="1"/>
    <xf numFmtId="165" fontId="6" fillId="0" borderId="0" xfId="1" applyFont="1" applyAlignment="1">
      <alignment horizontal="center"/>
    </xf>
    <xf numFmtId="165" fontId="16" fillId="0" borderId="0" xfId="1" applyFont="1" applyFill="1" applyAlignment="1">
      <alignment horizontal="center"/>
    </xf>
    <xf numFmtId="165" fontId="0" fillId="0" borderId="0" xfId="1" applyFont="1" applyFill="1"/>
    <xf numFmtId="165" fontId="6" fillId="0" borderId="0" xfId="1" applyFont="1"/>
    <xf numFmtId="0" fontId="6" fillId="0" borderId="0" xfId="0" applyFont="1" applyFill="1" applyBorder="1" applyAlignment="1">
      <alignment horizontal="center" vertical="center" wrapText="1"/>
    </xf>
    <xf numFmtId="165" fontId="8" fillId="0" borderId="0" xfId="5" applyFont="1" applyFill="1" applyBorder="1"/>
    <xf numFmtId="165" fontId="6" fillId="0" borderId="0" xfId="5" applyFont="1" applyFill="1" applyBorder="1"/>
    <xf numFmtId="165" fontId="16" fillId="0" borderId="0" xfId="1" applyFont="1" applyFill="1" applyBorder="1"/>
    <xf numFmtId="165" fontId="0" fillId="0" borderId="0" xfId="1" applyFont="1" applyAlignment="1">
      <alignment horizontal="center"/>
    </xf>
    <xf numFmtId="165" fontId="0" fillId="0" borderId="0" xfId="1" applyFont="1" applyAlignment="1">
      <alignment horizontal="center" vertical="center"/>
    </xf>
    <xf numFmtId="165" fontId="0" fillId="0" borderId="0" xfId="5" applyFont="1" applyFill="1" applyBorder="1"/>
    <xf numFmtId="166" fontId="8" fillId="0" borderId="0" xfId="5" applyNumberFormat="1" applyFont="1" applyFill="1" applyBorder="1"/>
    <xf numFmtId="165" fontId="0" fillId="0" borderId="0" xfId="5" applyFont="1" applyFill="1" applyBorder="1" applyAlignment="1">
      <alignment horizontal="right"/>
    </xf>
    <xf numFmtId="165" fontId="6" fillId="0" borderId="5" xfId="5" applyFont="1" applyFill="1" applyBorder="1" applyAlignment="1">
      <alignment horizontal="center" vertical="center" wrapText="1"/>
    </xf>
    <xf numFmtId="166" fontId="6" fillId="0" borderId="0" xfId="5" applyNumberFormat="1" applyFont="1" applyFill="1" applyBorder="1" applyAlignment="1">
      <alignment vertical="center" wrapText="1"/>
    </xf>
    <xf numFmtId="165" fontId="6" fillId="0" borderId="0" xfId="5" applyFont="1" applyFill="1" applyBorder="1" applyAlignment="1">
      <alignment horizontal="center" vertical="center" wrapText="1"/>
    </xf>
    <xf numFmtId="165" fontId="8" fillId="0" borderId="0" xfId="5" applyFont="1" applyFill="1" applyBorder="1" applyAlignment="1">
      <alignment horizontal="center"/>
    </xf>
    <xf numFmtId="166" fontId="6" fillId="0" borderId="0" xfId="5" applyNumberFormat="1" applyFont="1" applyFill="1" applyBorder="1"/>
    <xf numFmtId="165" fontId="6" fillId="0" borderId="4" xfId="5" applyFont="1" applyFill="1" applyBorder="1"/>
    <xf numFmtId="165" fontId="0" fillId="0" borderId="0" xfId="5" applyFont="1" applyBorder="1"/>
    <xf numFmtId="165" fontId="10" fillId="0" borderId="0" xfId="1" applyFont="1"/>
    <xf numFmtId="165" fontId="15" fillId="0" borderId="2" xfId="1" applyFont="1" applyFill="1" applyBorder="1" applyAlignment="1">
      <alignment horizontal="center"/>
    </xf>
    <xf numFmtId="165" fontId="10" fillId="0" borderId="0" xfId="1" applyFont="1" applyBorder="1"/>
    <xf numFmtId="165" fontId="15" fillId="0" borderId="1" xfId="1" applyFont="1" applyFill="1" applyBorder="1" applyAlignment="1">
      <alignment horizontal="center"/>
    </xf>
    <xf numFmtId="165" fontId="11" fillId="0" borderId="0" xfId="1" applyFont="1" applyBorder="1"/>
    <xf numFmtId="165" fontId="12" fillId="0" borderId="2" xfId="1" applyFont="1" applyBorder="1"/>
    <xf numFmtId="165" fontId="12" fillId="0" borderId="1" xfId="1" applyFont="1" applyBorder="1"/>
    <xf numFmtId="165" fontId="12" fillId="0" borderId="0" xfId="1" applyFont="1" applyAlignment="1">
      <alignment horizontal="center"/>
    </xf>
    <xf numFmtId="165" fontId="12" fillId="0" borderId="0" xfId="1" applyFont="1"/>
    <xf numFmtId="165" fontId="15" fillId="0" borderId="0" xfId="1" applyFont="1" applyFill="1"/>
    <xf numFmtId="165" fontId="16" fillId="0" borderId="0" xfId="1" applyFont="1" applyFill="1"/>
    <xf numFmtId="165" fontId="8" fillId="0" borderId="0" xfId="1" applyFont="1" applyBorder="1"/>
    <xf numFmtId="165" fontId="15" fillId="0" borderId="0" xfId="1" applyFont="1" applyFill="1" applyAlignment="1">
      <alignment horizontal="right"/>
    </xf>
    <xf numFmtId="165" fontId="11" fillId="0" borderId="0" xfId="1" applyFont="1"/>
    <xf numFmtId="165" fontId="0" fillId="0" borderId="14" xfId="1" applyFont="1" applyBorder="1" applyAlignment="1">
      <alignment horizontal="center"/>
    </xf>
    <xf numFmtId="165" fontId="13" fillId="0" borderId="0" xfId="1" applyFont="1" applyFill="1"/>
    <xf numFmtId="165" fontId="12" fillId="0" borderId="0" xfId="1" applyFont="1" applyFill="1" applyAlignment="1">
      <alignment horizontal="right"/>
    </xf>
    <xf numFmtId="165" fontId="12" fillId="0" borderId="0" xfId="1" applyFont="1" applyFill="1" applyBorder="1" applyAlignment="1">
      <alignment horizontal="right"/>
    </xf>
    <xf numFmtId="165" fontId="6" fillId="0" borderId="0" xfId="1" applyFont="1" applyFill="1" applyAlignment="1">
      <alignment vertical="top"/>
    </xf>
    <xf numFmtId="165" fontId="12" fillId="0" borderId="0" xfId="1" applyFont="1" applyFill="1" applyAlignment="1"/>
    <xf numFmtId="165" fontId="12" fillId="0" borderId="0" xfId="1" applyFont="1" applyFill="1" applyAlignment="1">
      <alignment horizontal="left"/>
    </xf>
    <xf numFmtId="165" fontId="6" fillId="0" borderId="0" xfId="1" applyFont="1" applyFill="1" applyAlignment="1">
      <alignment horizontal="left"/>
    </xf>
    <xf numFmtId="165" fontId="6" fillId="0" borderId="0" xfId="1" applyFont="1" applyFill="1" applyAlignment="1">
      <alignment horizontal="right"/>
    </xf>
    <xf numFmtId="165" fontId="8" fillId="0" borderId="0" xfId="1" applyFont="1" applyFill="1" applyAlignment="1">
      <alignment horizontal="center"/>
    </xf>
    <xf numFmtId="165" fontId="13" fillId="0" borderId="0" xfId="1" applyFont="1" applyFill="1" applyAlignment="1"/>
    <xf numFmtId="165" fontId="8" fillId="0" borderId="0" xfId="1" applyFont="1" applyFill="1"/>
    <xf numFmtId="165" fontId="13" fillId="0" borderId="0" xfId="1" applyFont="1" applyFill="1" applyAlignment="1">
      <alignment horizontal="left"/>
    </xf>
    <xf numFmtId="165" fontId="8" fillId="0" borderId="0" xfId="1" applyFont="1" applyFill="1" applyAlignment="1">
      <alignment horizontal="left"/>
    </xf>
    <xf numFmtId="0" fontId="0" fillId="0" borderId="0" xfId="1" applyNumberFormat="1" applyFont="1" applyAlignment="1">
      <alignment horizontal="center"/>
    </xf>
    <xf numFmtId="0" fontId="8" fillId="0" borderId="0" xfId="1" applyNumberFormat="1" applyFont="1" applyFill="1"/>
    <xf numFmtId="0" fontId="8" fillId="0" borderId="0" xfId="1" applyNumberFormat="1" applyFont="1" applyAlignment="1">
      <alignment horizontal="center"/>
    </xf>
    <xf numFmtId="0" fontId="8" fillId="0" borderId="0" xfId="1" applyNumberFormat="1" applyFont="1" applyAlignment="1">
      <alignment horizontal="center" vertical="center"/>
    </xf>
    <xf numFmtId="0" fontId="8" fillId="0" borderId="0" xfId="1" applyNumberFormat="1" applyFont="1" applyBorder="1" applyAlignment="1">
      <alignment horizontal="center"/>
    </xf>
    <xf numFmtId="0" fontId="8" fillId="0" borderId="0" xfId="1" applyNumberFormat="1" applyFont="1" applyBorder="1"/>
    <xf numFmtId="0" fontId="6" fillId="0" borderId="0" xfId="1" applyNumberFormat="1" applyFont="1" applyFill="1" applyAlignment="1"/>
    <xf numFmtId="0" fontId="6" fillId="0" borderId="0" xfId="1" applyNumberFormat="1" applyFont="1" applyFill="1" applyAlignment="1">
      <alignment horizontal="left"/>
    </xf>
    <xf numFmtId="165" fontId="0" fillId="0" borderId="1" xfId="1" applyFont="1" applyBorder="1"/>
    <xf numFmtId="165" fontId="6" fillId="0" borderId="0" xfId="1" applyFont="1" applyFill="1" applyAlignment="1"/>
    <xf numFmtId="165" fontId="14" fillId="0" borderId="0" xfId="1" applyFont="1" applyAlignment="1">
      <alignment horizontal="center"/>
    </xf>
    <xf numFmtId="165" fontId="0" fillId="0" borderId="2" xfId="1" applyFont="1" applyBorder="1" applyAlignment="1">
      <alignment horizontal="center"/>
    </xf>
    <xf numFmtId="165" fontId="0" fillId="0" borderId="1" xfId="1" applyFont="1" applyBorder="1" applyAlignment="1">
      <alignment horizontal="center"/>
    </xf>
    <xf numFmtId="165" fontId="6" fillId="0" borderId="1" xfId="1" applyFont="1" applyFill="1" applyBorder="1" applyAlignment="1">
      <alignment horizontal="center"/>
    </xf>
    <xf numFmtId="165" fontId="8" fillId="0" borderId="0" xfId="1" applyFont="1" applyAlignment="1">
      <alignment horizontal="center"/>
    </xf>
    <xf numFmtId="165" fontId="17" fillId="0" borderId="0" xfId="1" applyFont="1" applyBorder="1"/>
    <xf numFmtId="165" fontId="8" fillId="0" borderId="0" xfId="1" applyFont="1" applyFill="1" applyBorder="1" applyAlignment="1">
      <alignment vertical="center"/>
    </xf>
    <xf numFmtId="165" fontId="8" fillId="0" borderId="0" xfId="1" applyFont="1" applyAlignment="1">
      <alignment wrapText="1"/>
    </xf>
    <xf numFmtId="165" fontId="6" fillId="0" borderId="1" xfId="1" applyFont="1" applyFill="1" applyBorder="1"/>
    <xf numFmtId="165" fontId="8" fillId="0" borderId="1" xfId="1" applyFont="1" applyFill="1" applyBorder="1"/>
    <xf numFmtId="0" fontId="6" fillId="0" borderId="0" xfId="1" applyNumberFormat="1" applyFont="1" applyFill="1" applyAlignment="1">
      <alignment horizontal="center"/>
    </xf>
    <xf numFmtId="0" fontId="0" fillId="0" borderId="0" xfId="1" applyNumberFormat="1" applyFont="1"/>
    <xf numFmtId="0" fontId="6" fillId="0" borderId="1" xfId="1" applyNumberFormat="1" applyFont="1" applyFill="1" applyBorder="1" applyAlignment="1">
      <alignment horizontal="center"/>
    </xf>
    <xf numFmtId="0" fontId="0" fillId="0" borderId="0" xfId="1" applyNumberFormat="1" applyFont="1" applyFill="1"/>
    <xf numFmtId="0" fontId="6" fillId="0" borderId="0" xfId="1" applyNumberFormat="1" applyFont="1" applyFill="1" applyAlignment="1">
      <alignment horizontal="right"/>
    </xf>
    <xf numFmtId="0" fontId="8" fillId="0" borderId="0" xfId="1" applyNumberFormat="1" applyFont="1" applyFill="1" applyAlignment="1">
      <alignment vertical="top"/>
    </xf>
    <xf numFmtId="0" fontId="8" fillId="0" borderId="0" xfId="1" applyNumberFormat="1" applyFont="1" applyFill="1" applyAlignment="1">
      <alignment horizontal="right"/>
    </xf>
    <xf numFmtId="0" fontId="0" fillId="0" borderId="0" xfId="1" applyNumberFormat="1" applyFont="1" applyAlignment="1">
      <alignment horizontal="center" vertical="center"/>
    </xf>
    <xf numFmtId="165" fontId="18" fillId="0" borderId="0" xfId="1" applyFont="1"/>
    <xf numFmtId="165" fontId="6" fillId="0" borderId="0" xfId="1" applyFont="1" applyFill="1"/>
    <xf numFmtId="165" fontId="9" fillId="0" borderId="0" xfId="1" applyFont="1"/>
    <xf numFmtId="165" fontId="0" fillId="0" borderId="0" xfId="1" applyFont="1" applyAlignment="1">
      <alignment horizontal="center" vertical="center" wrapText="1"/>
    </xf>
    <xf numFmtId="165" fontId="6" fillId="0" borderId="5" xfId="1" applyFont="1" applyBorder="1" applyAlignment="1">
      <alignment horizontal="center" vertical="center" wrapText="1"/>
    </xf>
    <xf numFmtId="165" fontId="0" fillId="0" borderId="5" xfId="1" applyFont="1" applyBorder="1"/>
    <xf numFmtId="169" fontId="0" fillId="0" borderId="5" xfId="1" applyNumberFormat="1" applyFont="1" applyBorder="1" applyAlignment="1">
      <alignment horizontal="center"/>
    </xf>
    <xf numFmtId="165" fontId="5" fillId="0" borderId="5" xfId="1" applyFont="1" applyBorder="1"/>
    <xf numFmtId="0" fontId="20" fillId="0" borderId="5" xfId="12" applyFont="1" applyBorder="1" applyAlignment="1">
      <alignment horizontal="center" vertical="center" wrapText="1"/>
    </xf>
    <xf numFmtId="0" fontId="3" fillId="0" borderId="0" xfId="12" applyAlignment="1">
      <alignment vertical="center" wrapText="1"/>
    </xf>
    <xf numFmtId="165" fontId="20" fillId="0" borderId="5" xfId="1" applyFont="1" applyBorder="1" applyAlignment="1">
      <alignment horizontal="center" vertical="center" wrapText="1"/>
    </xf>
    <xf numFmtId="165" fontId="19" fillId="0" borderId="0" xfId="1" applyFont="1" applyAlignment="1">
      <alignment vertical="center" wrapText="1"/>
    </xf>
    <xf numFmtId="165" fontId="3" fillId="0" borderId="0" xfId="1" applyFont="1" applyAlignment="1">
      <alignment vertical="center" wrapText="1"/>
    </xf>
    <xf numFmtId="0" fontId="3" fillId="0" borderId="0" xfId="12" applyAlignment="1">
      <alignment horizontal="center" vertical="center" wrapText="1"/>
    </xf>
    <xf numFmtId="165" fontId="21" fillId="0" borderId="5" xfId="1" applyFont="1" applyBorder="1" applyAlignment="1">
      <alignment horizontal="center" vertical="center" wrapText="1"/>
    </xf>
    <xf numFmtId="165" fontId="19" fillId="0" borderId="5" xfId="1" applyFont="1" applyBorder="1" applyAlignment="1">
      <alignment horizontal="center" vertical="center" wrapText="1"/>
    </xf>
    <xf numFmtId="165" fontId="3" fillId="0" borderId="5" xfId="1" applyFont="1" applyBorder="1" applyAlignment="1">
      <alignment horizontal="center" vertical="center" wrapText="1"/>
    </xf>
    <xf numFmtId="165" fontId="0" fillId="2" borderId="5" xfId="1" applyFont="1" applyFill="1" applyBorder="1"/>
    <xf numFmtId="169" fontId="0" fillId="2" borderId="5" xfId="1" applyNumberFormat="1" applyFont="1" applyFill="1" applyBorder="1" applyAlignment="1">
      <alignment horizontal="center"/>
    </xf>
    <xf numFmtId="0" fontId="20" fillId="0" borderId="0" xfId="12" applyFont="1" applyAlignment="1">
      <alignment vertical="center" wrapText="1"/>
    </xf>
    <xf numFmtId="170" fontId="20" fillId="2" borderId="5" xfId="12" applyNumberFormat="1" applyFont="1" applyFill="1" applyBorder="1" applyAlignment="1">
      <alignment horizontal="right" vertical="center" wrapText="1"/>
    </xf>
    <xf numFmtId="165" fontId="20" fillId="2" borderId="5" xfId="1" applyFont="1" applyFill="1" applyBorder="1" applyAlignment="1">
      <alignment vertical="center" wrapText="1"/>
    </xf>
    <xf numFmtId="165" fontId="20" fillId="2" borderId="5" xfId="1" applyFont="1" applyFill="1" applyBorder="1" applyAlignment="1">
      <alignment horizontal="right" vertical="center" wrapText="1"/>
    </xf>
    <xf numFmtId="165" fontId="19" fillId="2" borderId="5" xfId="1" applyFont="1" applyFill="1" applyBorder="1" applyAlignment="1">
      <alignment vertical="center" wrapText="1"/>
    </xf>
    <xf numFmtId="165" fontId="3" fillId="2" borderId="5" xfId="1" applyFont="1" applyFill="1" applyBorder="1" applyAlignment="1">
      <alignment vertical="center" wrapText="1"/>
    </xf>
    <xf numFmtId="0" fontId="20" fillId="0" borderId="5" xfId="12" applyFont="1" applyBorder="1" applyAlignment="1">
      <alignment horizontal="right" vertical="center" wrapText="1"/>
    </xf>
    <xf numFmtId="165" fontId="21" fillId="0" borderId="5" xfId="1" applyFont="1" applyBorder="1" applyAlignment="1">
      <alignment horizontal="right" vertical="center" wrapText="1"/>
    </xf>
    <xf numFmtId="165" fontId="20" fillId="0" borderId="5" xfId="1" applyFont="1" applyBorder="1" applyAlignment="1">
      <alignment horizontal="right" vertical="center" wrapText="1"/>
    </xf>
    <xf numFmtId="165" fontId="0" fillId="0" borderId="0" xfId="1" pivotButton="1" applyFont="1"/>
    <xf numFmtId="165" fontId="0" fillId="0" borderId="0" xfId="1" applyFont="1" applyAlignment="1">
      <alignment horizontal="left"/>
    </xf>
    <xf numFmtId="165" fontId="0" fillId="0" borderId="0" xfId="1" pivotButton="1" applyFont="1" applyAlignment="1">
      <alignment horizontal="center" vertical="center" wrapText="1"/>
    </xf>
    <xf numFmtId="165" fontId="18" fillId="0" borderId="0" xfId="1" applyFont="1" applyAlignment="1">
      <alignment horizontal="left"/>
    </xf>
    <xf numFmtId="165" fontId="18" fillId="2" borderId="0" xfId="1" applyFont="1" applyFill="1" applyAlignment="1">
      <alignment horizontal="left"/>
    </xf>
    <xf numFmtId="165" fontId="18" fillId="2" borderId="0" xfId="1" applyFont="1" applyFill="1"/>
    <xf numFmtId="165" fontId="0" fillId="2" borderId="0" xfId="1" applyFont="1" applyFill="1" applyAlignment="1">
      <alignment horizontal="left"/>
    </xf>
    <xf numFmtId="165" fontId="0" fillId="2" borderId="0" xfId="1" applyFont="1" applyFill="1"/>
    <xf numFmtId="165" fontId="5" fillId="0" borderId="0" xfId="1" applyFont="1"/>
    <xf numFmtId="165" fontId="5" fillId="0" borderId="4" xfId="1" applyFont="1" applyBorder="1"/>
    <xf numFmtId="0" fontId="22" fillId="0" borderId="2" xfId="13" applyFont="1" applyBorder="1" applyAlignment="1">
      <alignment horizontal="left" vertical="top" indent="2"/>
    </xf>
    <xf numFmtId="0" fontId="2" fillId="0" borderId="0" xfId="13"/>
    <xf numFmtId="0" fontId="22" fillId="0" borderId="15" xfId="13" applyFont="1" applyBorder="1" applyAlignment="1">
      <alignment horizontal="left" vertical="top" indent="2"/>
    </xf>
    <xf numFmtId="0" fontId="22" fillId="0" borderId="8" xfId="13" applyFont="1" applyBorder="1" applyAlignment="1">
      <alignment horizontal="center" vertical="top"/>
    </xf>
    <xf numFmtId="0" fontId="22" fillId="0" borderId="10" xfId="13" applyFont="1" applyBorder="1" applyAlignment="1">
      <alignment horizontal="left" vertical="top" indent="2"/>
    </xf>
    <xf numFmtId="0" fontId="22" fillId="0" borderId="10" xfId="13" applyFont="1" applyBorder="1" applyAlignment="1">
      <alignment horizontal="center" vertical="top"/>
    </xf>
    <xf numFmtId="0" fontId="20" fillId="0" borderId="5" xfId="13" applyFont="1" applyBorder="1" applyAlignment="1">
      <alignment horizontal="center" vertical="top"/>
    </xf>
    <xf numFmtId="0" fontId="22" fillId="0" borderId="0" xfId="13" applyFont="1" applyAlignment="1">
      <alignment vertical="top"/>
    </xf>
    <xf numFmtId="171" fontId="22" fillId="0" borderId="6" xfId="13" applyNumberFormat="1" applyFont="1" applyBorder="1" applyAlignment="1">
      <alignment horizontal="right" vertical="top"/>
    </xf>
    <xf numFmtId="172" fontId="21" fillId="0" borderId="3" xfId="13" applyNumberFormat="1" applyFont="1" applyBorder="1" applyAlignment="1">
      <alignment horizontal="right" vertical="top"/>
    </xf>
    <xf numFmtId="171" fontId="22" fillId="0" borderId="3" xfId="13" applyNumberFormat="1" applyFont="1" applyBorder="1" applyAlignment="1">
      <alignment horizontal="right" vertical="top"/>
    </xf>
    <xf numFmtId="0" fontId="23" fillId="0" borderId="6" xfId="13" applyFont="1" applyBorder="1" applyAlignment="1">
      <alignment horizontal="right" vertical="top"/>
    </xf>
    <xf numFmtId="172" fontId="20" fillId="0" borderId="3" xfId="13" applyNumberFormat="1" applyFont="1" applyBorder="1" applyAlignment="1">
      <alignment horizontal="right" vertical="top"/>
    </xf>
    <xf numFmtId="171" fontId="23" fillId="0" borderId="3" xfId="13" applyNumberFormat="1" applyFont="1" applyBorder="1" applyAlignment="1">
      <alignment horizontal="right" vertical="top"/>
    </xf>
    <xf numFmtId="0" fontId="21" fillId="0" borderId="0" xfId="13" applyFont="1" applyAlignment="1">
      <alignment horizontal="left" vertical="top" indent="2"/>
    </xf>
    <xf numFmtId="171" fontId="21" fillId="0" borderId="8" xfId="13" applyNumberFormat="1" applyFont="1" applyBorder="1" applyAlignment="1">
      <alignment horizontal="right" vertical="top"/>
    </xf>
    <xf numFmtId="172" fontId="20" fillId="0" borderId="2" xfId="13" applyNumberFormat="1" applyFont="1" applyBorder="1" applyAlignment="1">
      <alignment horizontal="right" vertical="top"/>
    </xf>
    <xf numFmtId="171" fontId="21" fillId="0" borderId="2" xfId="13" applyNumberFormat="1" applyFont="1" applyBorder="1" applyAlignment="1">
      <alignment horizontal="right" vertical="top"/>
    </xf>
    <xf numFmtId="0" fontId="20" fillId="0" borderId="8" xfId="13" applyFont="1" applyBorder="1" applyAlignment="1">
      <alignment horizontal="right" vertical="top"/>
    </xf>
    <xf numFmtId="172" fontId="21" fillId="0" borderId="2" xfId="13" applyNumberFormat="1" applyFont="1" applyBorder="1" applyAlignment="1">
      <alignment horizontal="right" vertical="top"/>
    </xf>
    <xf numFmtId="171" fontId="20" fillId="0" borderId="2" xfId="13" applyNumberFormat="1" applyFont="1" applyBorder="1" applyAlignment="1">
      <alignment horizontal="right" vertical="top"/>
    </xf>
    <xf numFmtId="171" fontId="21" fillId="0" borderId="15" xfId="13" applyNumberFormat="1" applyFont="1" applyBorder="1" applyAlignment="1">
      <alignment horizontal="right" vertical="top"/>
    </xf>
    <xf numFmtId="172" fontId="20" fillId="0" borderId="0" xfId="13" applyNumberFormat="1" applyFont="1" applyBorder="1" applyAlignment="1">
      <alignment horizontal="right" vertical="top"/>
    </xf>
    <xf numFmtId="171" fontId="21" fillId="0" borderId="0" xfId="13" applyNumberFormat="1" applyFont="1" applyBorder="1" applyAlignment="1">
      <alignment horizontal="right" vertical="top"/>
    </xf>
    <xf numFmtId="0" fontId="20" fillId="0" borderId="15" xfId="13" applyFont="1" applyBorder="1" applyAlignment="1">
      <alignment horizontal="right" vertical="top"/>
    </xf>
    <xf numFmtId="0" fontId="21" fillId="0" borderId="0" xfId="13" applyFont="1" applyBorder="1" applyAlignment="1">
      <alignment horizontal="right" vertical="top"/>
    </xf>
    <xf numFmtId="172" fontId="21" fillId="0" borderId="0" xfId="13" applyNumberFormat="1" applyFont="1" applyBorder="1" applyAlignment="1">
      <alignment horizontal="right" vertical="top"/>
    </xf>
    <xf numFmtId="171" fontId="20" fillId="0" borderId="0" xfId="13" applyNumberFormat="1" applyFont="1" applyBorder="1" applyAlignment="1">
      <alignment horizontal="right" vertical="top"/>
    </xf>
    <xf numFmtId="173" fontId="21" fillId="0" borderId="0" xfId="13" applyNumberFormat="1" applyFont="1" applyBorder="1" applyAlignment="1">
      <alignment horizontal="right" vertical="top"/>
    </xf>
    <xf numFmtId="171" fontId="22" fillId="0" borderId="10" xfId="13" applyNumberFormat="1" applyFont="1" applyBorder="1" applyAlignment="1">
      <alignment horizontal="right" vertical="top"/>
    </xf>
    <xf numFmtId="172" fontId="21" fillId="0" borderId="1" xfId="13" applyNumberFormat="1" applyFont="1" applyBorder="1" applyAlignment="1">
      <alignment horizontal="right" vertical="top"/>
    </xf>
    <xf numFmtId="171" fontId="22" fillId="0" borderId="1" xfId="13" applyNumberFormat="1" applyFont="1" applyBorder="1" applyAlignment="1">
      <alignment horizontal="right" vertical="top"/>
    </xf>
    <xf numFmtId="0" fontId="23" fillId="0" borderId="10" xfId="13" applyFont="1" applyBorder="1" applyAlignment="1">
      <alignment horizontal="right" vertical="top"/>
    </xf>
    <xf numFmtId="172" fontId="20" fillId="0" borderId="1" xfId="13" applyNumberFormat="1" applyFont="1" applyBorder="1" applyAlignment="1">
      <alignment horizontal="right" vertical="top"/>
    </xf>
    <xf numFmtId="171" fontId="23" fillId="0" borderId="1" xfId="13" applyNumberFormat="1" applyFont="1" applyBorder="1" applyAlignment="1">
      <alignment horizontal="right" vertical="top"/>
    </xf>
    <xf numFmtId="0" fontId="20" fillId="0" borderId="0" xfId="13" applyFont="1" applyAlignment="1">
      <alignment horizontal="left" vertical="top" indent="2"/>
    </xf>
    <xf numFmtId="171" fontId="20" fillId="0" borderId="6" xfId="13" applyNumberFormat="1" applyFont="1" applyBorder="1" applyAlignment="1">
      <alignment horizontal="right" vertical="top"/>
    </xf>
    <xf numFmtId="171" fontId="20" fillId="0" borderId="3" xfId="13" applyNumberFormat="1" applyFont="1" applyBorder="1" applyAlignment="1">
      <alignment horizontal="right" vertical="top"/>
    </xf>
    <xf numFmtId="0" fontId="21" fillId="0" borderId="6" xfId="13" applyFont="1" applyBorder="1" applyAlignment="1">
      <alignment horizontal="right" vertical="top"/>
    </xf>
    <xf numFmtId="171" fontId="21" fillId="0" borderId="3" xfId="13" applyNumberFormat="1" applyFont="1" applyBorder="1" applyAlignment="1">
      <alignment horizontal="right" vertical="top"/>
    </xf>
    <xf numFmtId="0" fontId="21" fillId="0" borderId="0" xfId="13" applyFont="1" applyAlignment="1">
      <alignment horizontal="left" vertical="top" indent="4"/>
    </xf>
    <xf numFmtId="0" fontId="20" fillId="0" borderId="2" xfId="13" applyFont="1" applyBorder="1" applyAlignment="1">
      <alignment horizontal="right" vertical="top"/>
    </xf>
    <xf numFmtId="0" fontId="21" fillId="0" borderId="8" xfId="13" applyFont="1" applyBorder="1" applyAlignment="1">
      <alignment horizontal="right" vertical="top"/>
    </xf>
    <xf numFmtId="0" fontId="21" fillId="0" borderId="2" xfId="13" applyFont="1" applyBorder="1" applyAlignment="1">
      <alignment horizontal="right" vertical="top"/>
    </xf>
    <xf numFmtId="0" fontId="21" fillId="0" borderId="0" xfId="13" applyFont="1" applyAlignment="1">
      <alignment horizontal="left" vertical="top" indent="3"/>
    </xf>
    <xf numFmtId="0" fontId="20" fillId="0" borderId="0" xfId="13" applyFont="1" applyBorder="1" applyAlignment="1">
      <alignment horizontal="right" vertical="top"/>
    </xf>
    <xf numFmtId="0" fontId="21" fillId="0" borderId="15" xfId="13" applyFont="1" applyBorder="1" applyAlignment="1">
      <alignment horizontal="right" vertical="top"/>
    </xf>
    <xf numFmtId="171" fontId="20" fillId="0" borderId="15" xfId="13" applyNumberFormat="1" applyFont="1" applyBorder="1" applyAlignment="1">
      <alignment horizontal="right" vertical="top"/>
    </xf>
    <xf numFmtId="171" fontId="20" fillId="0" borderId="10" xfId="13" applyNumberFormat="1" applyFont="1" applyBorder="1" applyAlignment="1">
      <alignment horizontal="right" vertical="top"/>
    </xf>
    <xf numFmtId="171" fontId="20" fillId="0" borderId="1" xfId="13" applyNumberFormat="1" applyFont="1" applyBorder="1" applyAlignment="1">
      <alignment horizontal="right" vertical="top"/>
    </xf>
    <xf numFmtId="0" fontId="21" fillId="0" borderId="10" xfId="13" applyFont="1" applyBorder="1" applyAlignment="1">
      <alignment horizontal="right" vertical="top"/>
    </xf>
    <xf numFmtId="171" fontId="21" fillId="0" borderId="1" xfId="13" applyNumberFormat="1" applyFont="1" applyBorder="1" applyAlignment="1">
      <alignment horizontal="right" vertical="top"/>
    </xf>
    <xf numFmtId="173" fontId="22" fillId="0" borderId="10" xfId="13" applyNumberFormat="1" applyFont="1" applyBorder="1" applyAlignment="1">
      <alignment horizontal="right" vertical="top"/>
    </xf>
    <xf numFmtId="173" fontId="22" fillId="0" borderId="1" xfId="13" applyNumberFormat="1" applyFont="1" applyBorder="1" applyAlignment="1">
      <alignment horizontal="right" vertical="top"/>
    </xf>
    <xf numFmtId="173" fontId="23" fillId="0" borderId="1" xfId="13" applyNumberFormat="1" applyFont="1" applyBorder="1" applyAlignment="1">
      <alignment horizontal="right" vertical="top"/>
    </xf>
    <xf numFmtId="173" fontId="21" fillId="0" borderId="2" xfId="13" applyNumberFormat="1" applyFont="1" applyBorder="1" applyAlignment="1">
      <alignment horizontal="right" vertical="top"/>
    </xf>
    <xf numFmtId="173" fontId="21" fillId="0" borderId="15" xfId="13" applyNumberFormat="1" applyFont="1" applyBorder="1" applyAlignment="1">
      <alignment horizontal="right" vertical="top"/>
    </xf>
    <xf numFmtId="173" fontId="20" fillId="0" borderId="0" xfId="13" applyNumberFormat="1" applyFont="1" applyBorder="1" applyAlignment="1">
      <alignment horizontal="right" vertical="top"/>
    </xf>
    <xf numFmtId="173" fontId="20" fillId="0" borderId="6" xfId="13" applyNumberFormat="1" applyFont="1" applyBorder="1" applyAlignment="1">
      <alignment horizontal="right" vertical="top"/>
    </xf>
    <xf numFmtId="173" fontId="20" fillId="0" borderId="3" xfId="13" applyNumberFormat="1" applyFont="1" applyBorder="1" applyAlignment="1">
      <alignment horizontal="right" vertical="top"/>
    </xf>
    <xf numFmtId="0" fontId="21" fillId="0" borderId="3" xfId="13" applyFont="1" applyBorder="1" applyAlignment="1">
      <alignment horizontal="right" vertical="top"/>
    </xf>
    <xf numFmtId="173" fontId="21" fillId="0" borderId="3" xfId="13" applyNumberFormat="1" applyFont="1" applyBorder="1" applyAlignment="1">
      <alignment horizontal="right" vertical="top"/>
    </xf>
    <xf numFmtId="173" fontId="20" fillId="0" borderId="8" xfId="13" applyNumberFormat="1" applyFont="1" applyBorder="1" applyAlignment="1">
      <alignment horizontal="right" vertical="top"/>
    </xf>
    <xf numFmtId="173" fontId="20" fillId="0" borderId="2" xfId="13" applyNumberFormat="1" applyFont="1" applyBorder="1" applyAlignment="1">
      <alignment horizontal="right" vertical="top"/>
    </xf>
    <xf numFmtId="173" fontId="20" fillId="0" borderId="15" xfId="13" applyNumberFormat="1" applyFont="1" applyBorder="1" applyAlignment="1">
      <alignment horizontal="right" vertical="top"/>
    </xf>
    <xf numFmtId="173" fontId="20" fillId="0" borderId="10" xfId="13" applyNumberFormat="1" applyFont="1" applyBorder="1" applyAlignment="1">
      <alignment horizontal="right" vertical="top"/>
    </xf>
    <xf numFmtId="173" fontId="20" fillId="0" borderId="1" xfId="13" applyNumberFormat="1" applyFont="1" applyBorder="1" applyAlignment="1">
      <alignment horizontal="right" vertical="top"/>
    </xf>
    <xf numFmtId="173" fontId="21" fillId="0" borderId="1" xfId="13" applyNumberFormat="1" applyFont="1" applyBorder="1" applyAlignment="1">
      <alignment horizontal="right" vertical="top"/>
    </xf>
    <xf numFmtId="0" fontId="22" fillId="0" borderId="10" xfId="13" applyFont="1" applyBorder="1" applyAlignment="1">
      <alignment horizontal="right" vertical="top"/>
    </xf>
    <xf numFmtId="0" fontId="21" fillId="0" borderId="1" xfId="13" applyFont="1" applyBorder="1" applyAlignment="1">
      <alignment horizontal="right" vertical="top"/>
    </xf>
    <xf numFmtId="0" fontId="20" fillId="0" borderId="1" xfId="13" applyFont="1" applyBorder="1" applyAlignment="1">
      <alignment horizontal="right" vertical="top"/>
    </xf>
    <xf numFmtId="0" fontId="20" fillId="0" borderId="6" xfId="13" applyFont="1" applyBorder="1" applyAlignment="1">
      <alignment horizontal="right" vertical="top"/>
    </xf>
    <xf numFmtId="0" fontId="20" fillId="0" borderId="0" xfId="13" applyFont="1" applyAlignment="1">
      <alignment horizontal="left" vertical="top" indent="3"/>
    </xf>
    <xf numFmtId="0" fontId="20" fillId="0" borderId="3" xfId="13" applyFont="1" applyBorder="1" applyAlignment="1">
      <alignment horizontal="right" vertical="top"/>
    </xf>
    <xf numFmtId="0" fontId="20" fillId="0" borderId="10" xfId="13" applyFont="1" applyBorder="1" applyAlignment="1">
      <alignment horizontal="right" vertical="top"/>
    </xf>
    <xf numFmtId="0" fontId="20" fillId="0" borderId="0" xfId="13" applyFont="1" applyAlignment="1">
      <alignment vertical="top"/>
    </xf>
    <xf numFmtId="0" fontId="22" fillId="0" borderId="3" xfId="13" applyFont="1" applyBorder="1" applyAlignment="1">
      <alignment horizontal="left" vertical="top" indent="2"/>
    </xf>
    <xf numFmtId="0" fontId="24" fillId="0" borderId="6" xfId="13" applyFont="1" applyBorder="1" applyAlignment="1">
      <alignment horizontal="right" vertical="top"/>
    </xf>
    <xf numFmtId="172" fontId="23" fillId="0" borderId="3" xfId="13" applyNumberFormat="1" applyFont="1" applyBorder="1" applyAlignment="1">
      <alignment horizontal="right" vertical="top"/>
    </xf>
    <xf numFmtId="0" fontId="24" fillId="0" borderId="3" xfId="13" applyFont="1" applyBorder="1" applyAlignment="1">
      <alignment horizontal="right" vertical="top"/>
    </xf>
    <xf numFmtId="172" fontId="22" fillId="0" borderId="3" xfId="13" applyNumberFormat="1" applyFont="1" applyBorder="1" applyAlignment="1">
      <alignment horizontal="right" vertical="top"/>
    </xf>
    <xf numFmtId="165" fontId="5" fillId="0" borderId="0" xfId="1" applyFont="1" applyFill="1"/>
    <xf numFmtId="165" fontId="5" fillId="0" borderId="0" xfId="1" applyFont="1" applyFill="1" applyBorder="1" applyAlignment="1">
      <alignment vertical="center"/>
    </xf>
    <xf numFmtId="164" fontId="8" fillId="0" borderId="0" xfId="0" applyNumberFormat="1" applyFont="1" applyFill="1" applyBorder="1"/>
    <xf numFmtId="0" fontId="25" fillId="0" borderId="0" xfId="0" applyFont="1"/>
    <xf numFmtId="0" fontId="26" fillId="0" borderId="0" xfId="0" applyFont="1" applyFill="1"/>
    <xf numFmtId="165" fontId="26" fillId="0" borderId="0" xfId="1" applyFont="1" applyFill="1"/>
    <xf numFmtId="165" fontId="25" fillId="0" borderId="0" xfId="1" applyFont="1"/>
    <xf numFmtId="0" fontId="27" fillId="0" borderId="0" xfId="0" applyFont="1"/>
    <xf numFmtId="165" fontId="27" fillId="0" borderId="0" xfId="1" applyFont="1"/>
    <xf numFmtId="0" fontId="26" fillId="0" borderId="2" xfId="0" applyFont="1" applyFill="1" applyBorder="1"/>
    <xf numFmtId="165" fontId="26" fillId="0" borderId="2" xfId="1" applyFont="1" applyFill="1" applyBorder="1" applyAlignment="1">
      <alignment horizontal="center"/>
    </xf>
    <xf numFmtId="165" fontId="26" fillId="0" borderId="2" xfId="1" applyFont="1" applyFill="1" applyBorder="1"/>
    <xf numFmtId="0" fontId="26" fillId="0" borderId="1" xfId="0" applyFont="1" applyFill="1" applyBorder="1"/>
    <xf numFmtId="165" fontId="26" fillId="0" borderId="1" xfId="1" applyFont="1" applyFill="1" applyBorder="1" applyAlignment="1">
      <alignment horizontal="right"/>
    </xf>
    <xf numFmtId="0" fontId="26" fillId="0" borderId="0" xfId="0" applyFont="1" applyFill="1" applyBorder="1"/>
    <xf numFmtId="165" fontId="26" fillId="0" borderId="0" xfId="1" applyFont="1" applyFill="1" applyBorder="1"/>
    <xf numFmtId="165" fontId="26" fillId="0" borderId="0" xfId="1" applyFont="1" applyFill="1" applyBorder="1" applyAlignment="1">
      <alignment horizontal="right"/>
    </xf>
    <xf numFmtId="0" fontId="26" fillId="0" borderId="0" xfId="0" applyFont="1"/>
    <xf numFmtId="165" fontId="26" fillId="0" borderId="0" xfId="1" applyFont="1"/>
    <xf numFmtId="165" fontId="28" fillId="0" borderId="0" xfId="1" applyFont="1" applyFill="1" applyBorder="1"/>
    <xf numFmtId="0" fontId="28" fillId="0" borderId="0" xfId="0" applyFont="1"/>
    <xf numFmtId="165" fontId="28" fillId="0" borderId="0" xfId="1" applyFont="1" applyBorder="1"/>
    <xf numFmtId="165" fontId="28" fillId="0" borderId="1" xfId="1" applyFont="1" applyBorder="1"/>
    <xf numFmtId="165" fontId="26" fillId="0" borderId="0" xfId="1" applyFont="1" applyBorder="1"/>
    <xf numFmtId="165" fontId="26" fillId="0" borderId="1" xfId="1" applyFont="1" applyBorder="1"/>
    <xf numFmtId="174" fontId="26" fillId="0" borderId="0" xfId="1" applyNumberFormat="1" applyFont="1" applyBorder="1"/>
    <xf numFmtId="165" fontId="28" fillId="0" borderId="0" xfId="1" applyFont="1"/>
    <xf numFmtId="0" fontId="28" fillId="0" borderId="0" xfId="0" applyFont="1" applyFill="1"/>
    <xf numFmtId="165" fontId="28" fillId="0" borderId="0" xfId="1" applyFont="1" applyFill="1"/>
    <xf numFmtId="165" fontId="25" fillId="0" borderId="4" xfId="1" applyFont="1" applyBorder="1"/>
    <xf numFmtId="165" fontId="25" fillId="0" borderId="0" xfId="1" applyFont="1" applyBorder="1"/>
    <xf numFmtId="165" fontId="28" fillId="0" borderId="0" xfId="5" applyFont="1" applyFill="1" applyBorder="1"/>
    <xf numFmtId="0" fontId="28" fillId="0" borderId="0" xfId="0" applyFont="1" applyFill="1" applyBorder="1"/>
    <xf numFmtId="0" fontId="28" fillId="0" borderId="0" xfId="0" quotePrefix="1" applyFont="1" applyFill="1" applyBorder="1"/>
    <xf numFmtId="165" fontId="28" fillId="0" borderId="0" xfId="1" quotePrefix="1" applyFont="1" applyFill="1" applyBorder="1"/>
    <xf numFmtId="165" fontId="25" fillId="0" borderId="0" xfId="1" applyFont="1" applyFill="1" applyBorder="1"/>
    <xf numFmtId="0" fontId="25" fillId="0" borderId="0" xfId="0" applyFont="1" applyFill="1" applyBorder="1"/>
    <xf numFmtId="165" fontId="29" fillId="0" borderId="8" xfId="1" applyFont="1" applyBorder="1"/>
    <xf numFmtId="165" fontId="30" fillId="0" borderId="2" xfId="1" applyFont="1" applyBorder="1"/>
    <xf numFmtId="165" fontId="30" fillId="0" borderId="2" xfId="1" applyFont="1" applyBorder="1" applyAlignment="1">
      <alignment horizontal="center"/>
    </xf>
    <xf numFmtId="165" fontId="31" fillId="0" borderId="2" xfId="1" applyFont="1" applyFill="1" applyBorder="1"/>
    <xf numFmtId="165" fontId="31" fillId="0" borderId="9" xfId="1" applyFont="1" applyFill="1" applyBorder="1"/>
    <xf numFmtId="165" fontId="30" fillId="0" borderId="0" xfId="1" applyFont="1"/>
    <xf numFmtId="165" fontId="29" fillId="0" borderId="15" xfId="1" applyFont="1" applyBorder="1"/>
    <xf numFmtId="165" fontId="30" fillId="0" borderId="0" xfId="1" applyFont="1" applyBorder="1"/>
    <xf numFmtId="165" fontId="30" fillId="0" borderId="0" xfId="1" applyFont="1" applyBorder="1" applyAlignment="1">
      <alignment horizontal="center"/>
    </xf>
    <xf numFmtId="14" fontId="31" fillId="0" borderId="0" xfId="1" applyNumberFormat="1" applyFont="1" applyFill="1" applyBorder="1" applyAlignment="1">
      <alignment horizontal="left"/>
    </xf>
    <xf numFmtId="165" fontId="31" fillId="0" borderId="0" xfId="1" applyFont="1" applyFill="1" applyBorder="1"/>
    <xf numFmtId="165" fontId="31" fillId="0" borderId="16" xfId="1" applyFont="1" applyFill="1" applyBorder="1"/>
    <xf numFmtId="165" fontId="30" fillId="0" borderId="15" xfId="1" applyFont="1" applyBorder="1"/>
    <xf numFmtId="165" fontId="30" fillId="0" borderId="16" xfId="1" applyFont="1" applyBorder="1"/>
    <xf numFmtId="165" fontId="29" fillId="0" borderId="16" xfId="1" applyFont="1" applyBorder="1" applyAlignment="1">
      <alignment horizontal="right"/>
    </xf>
    <xf numFmtId="165" fontId="29" fillId="0" borderId="16" xfId="1" applyFont="1" applyBorder="1" applyAlignment="1">
      <alignment horizontal="center"/>
    </xf>
    <xf numFmtId="165" fontId="31" fillId="0" borderId="15" xfId="1" applyFont="1" applyBorder="1"/>
    <xf numFmtId="165" fontId="30" fillId="0" borderId="1" xfId="1" applyFont="1" applyBorder="1"/>
    <xf numFmtId="165" fontId="30" fillId="0" borderId="11" xfId="1" applyFont="1" applyBorder="1"/>
    <xf numFmtId="165" fontId="30" fillId="0" borderId="17" xfId="1" applyFont="1" applyBorder="1"/>
    <xf numFmtId="165" fontId="31" fillId="0" borderId="0" xfId="1" applyFont="1" applyBorder="1"/>
    <xf numFmtId="165" fontId="30" fillId="0" borderId="4" xfId="1" applyFont="1" applyBorder="1" applyAlignment="1">
      <alignment horizontal="right"/>
    </xf>
    <xf numFmtId="165" fontId="29" fillId="0" borderId="0" xfId="1" applyFont="1" applyBorder="1"/>
    <xf numFmtId="165" fontId="30" fillId="0" borderId="10" xfId="1" applyFont="1" applyBorder="1"/>
    <xf numFmtId="4" fontId="30" fillId="0" borderId="0" xfId="0" applyNumberFormat="1" applyFont="1"/>
    <xf numFmtId="39" fontId="30" fillId="0" borderId="0" xfId="0" applyNumberFormat="1" applyFont="1"/>
    <xf numFmtId="4" fontId="31" fillId="0" borderId="0" xfId="0" applyNumberFormat="1" applyFont="1"/>
    <xf numFmtId="4" fontId="30" fillId="0" borderId="0" xfId="0" quotePrefix="1" applyNumberFormat="1" applyFont="1" applyAlignment="1">
      <alignment horizontal="center"/>
    </xf>
    <xf numFmtId="39" fontId="30" fillId="0" borderId="1" xfId="0" applyNumberFormat="1" applyFont="1" applyBorder="1"/>
    <xf numFmtId="165" fontId="5" fillId="0" borderId="0" xfId="1" applyFont="1" applyFill="1" applyAlignment="1"/>
    <xf numFmtId="165" fontId="31" fillId="0" borderId="0" xfId="1" applyFont="1" applyFill="1" applyBorder="1" applyAlignment="1">
      <alignment horizontal="left" wrapText="1"/>
    </xf>
    <xf numFmtId="165" fontId="31" fillId="0" borderId="16" xfId="1" applyFont="1" applyFill="1" applyBorder="1" applyAlignment="1">
      <alignment horizontal="left" wrapText="1"/>
    </xf>
    <xf numFmtId="165" fontId="32" fillId="0" borderId="6" xfId="1" applyFont="1" applyBorder="1" applyAlignment="1">
      <alignment horizontal="center"/>
    </xf>
    <xf numFmtId="165" fontId="32" fillId="0" borderId="3" xfId="1" applyFont="1" applyBorder="1" applyAlignment="1">
      <alignment horizontal="center"/>
    </xf>
    <xf numFmtId="165" fontId="32" fillId="0" borderId="7" xfId="1" applyFont="1" applyBorder="1" applyAlignment="1">
      <alignment horizontal="center"/>
    </xf>
    <xf numFmtId="165" fontId="6" fillId="0" borderId="0" xfId="1" applyFont="1" applyFill="1" applyAlignment="1">
      <alignment horizontal="center"/>
    </xf>
    <xf numFmtId="165" fontId="12" fillId="0" borderId="0" xfId="1" applyFont="1" applyFill="1" applyAlignment="1">
      <alignment horizontal="center"/>
    </xf>
    <xf numFmtId="165" fontId="12" fillId="0" borderId="0" xfId="1" applyFont="1" applyFill="1" applyAlignment="1"/>
    <xf numFmtId="165" fontId="13" fillId="0" borderId="1" xfId="1" applyFont="1" applyBorder="1" applyAlignment="1">
      <alignment horizontal="center"/>
    </xf>
    <xf numFmtId="165" fontId="13" fillId="0" borderId="0" xfId="1" applyFont="1" applyFill="1" applyAlignment="1"/>
    <xf numFmtId="165" fontId="15" fillId="0" borderId="2" xfId="1" applyFont="1" applyFill="1" applyBorder="1" applyAlignment="1">
      <alignment horizontal="left"/>
    </xf>
    <xf numFmtId="165" fontId="15" fillId="0" borderId="1" xfId="1" applyFont="1" applyFill="1" applyBorder="1" applyAlignment="1">
      <alignment horizontal="left"/>
    </xf>
    <xf numFmtId="0" fontId="6" fillId="0" borderId="2" xfId="1" applyNumberFormat="1" applyFont="1" applyBorder="1" applyAlignment="1">
      <alignment horizontal="center" wrapText="1"/>
    </xf>
    <xf numFmtId="0" fontId="8" fillId="0" borderId="1" xfId="1" applyNumberFormat="1" applyFont="1" applyBorder="1" applyAlignment="1">
      <alignment horizontal="center" wrapText="1"/>
    </xf>
    <xf numFmtId="165" fontId="13" fillId="0" borderId="0" xfId="1" applyFont="1" applyFill="1" applyAlignment="1">
      <alignment horizontal="center"/>
    </xf>
    <xf numFmtId="165" fontId="8" fillId="0" borderId="0" xfId="1" applyFont="1" applyFill="1" applyAlignment="1">
      <alignment horizontal="right"/>
    </xf>
    <xf numFmtId="165" fontId="6" fillId="0" borderId="0" xfId="1" applyFont="1" applyAlignment="1">
      <alignment horizontal="right"/>
    </xf>
    <xf numFmtId="0" fontId="0" fillId="0" borderId="1" xfId="1" applyNumberFormat="1" applyFont="1" applyBorder="1" applyAlignment="1">
      <alignment horizontal="center" wrapText="1"/>
    </xf>
    <xf numFmtId="165" fontId="6" fillId="0" borderId="0" xfId="1" applyFont="1" applyFill="1" applyAlignment="1">
      <alignment horizontal="right"/>
    </xf>
    <xf numFmtId="165" fontId="6" fillId="0" borderId="2" xfId="1" applyFont="1" applyFill="1" applyBorder="1" applyAlignment="1">
      <alignment horizontal="left"/>
    </xf>
    <xf numFmtId="165" fontId="6" fillId="0" borderId="1" xfId="1" applyFont="1" applyFill="1" applyBorder="1" applyAlignment="1">
      <alignment horizontal="left"/>
    </xf>
    <xf numFmtId="165" fontId="11" fillId="0" borderId="0" xfId="1" applyFont="1" applyFill="1" applyAlignment="1">
      <alignment horizontal="center"/>
    </xf>
    <xf numFmtId="165" fontId="6" fillId="0" borderId="0" xfId="1" applyFont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166" fontId="6" fillId="0" borderId="12" xfId="5" applyNumberFormat="1" applyFont="1" applyFill="1" applyBorder="1" applyAlignment="1">
      <alignment horizontal="left" vertical="center" wrapText="1"/>
    </xf>
    <xf numFmtId="166" fontId="6" fillId="0" borderId="13" xfId="5" applyNumberFormat="1" applyFont="1" applyFill="1" applyBorder="1" applyAlignment="1">
      <alignment horizontal="left" vertical="center" wrapText="1"/>
    </xf>
    <xf numFmtId="165" fontId="6" fillId="0" borderId="5" xfId="5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166" fontId="6" fillId="0" borderId="0" xfId="5" applyNumberFormat="1" applyFont="1" applyFill="1" applyBorder="1" applyAlignment="1">
      <alignment horizontal="left" vertical="center" wrapText="1"/>
    </xf>
    <xf numFmtId="165" fontId="6" fillId="0" borderId="0" xfId="5" applyFont="1" applyFill="1" applyBorder="1" applyAlignment="1">
      <alignment horizontal="center"/>
    </xf>
    <xf numFmtId="165" fontId="3" fillId="0" borderId="8" xfId="1" applyFont="1" applyBorder="1" applyAlignment="1">
      <alignment horizontal="center" vertical="center" wrapText="1"/>
    </xf>
    <xf numFmtId="165" fontId="3" fillId="0" borderId="15" xfId="1" applyFont="1" applyBorder="1" applyAlignment="1">
      <alignment horizontal="center" vertical="center" wrapText="1"/>
    </xf>
    <xf numFmtId="0" fontId="22" fillId="0" borderId="8" xfId="13" applyFont="1" applyBorder="1" applyAlignment="1">
      <alignment horizontal="center" vertical="top" wrapText="1"/>
    </xf>
    <xf numFmtId="0" fontId="22" fillId="0" borderId="2" xfId="13" applyFont="1" applyBorder="1" applyAlignment="1">
      <alignment horizontal="center" vertical="top" wrapText="1"/>
    </xf>
    <xf numFmtId="0" fontId="23" fillId="0" borderId="8" xfId="13" applyFont="1" applyBorder="1" applyAlignment="1">
      <alignment horizontal="center" vertical="top" wrapText="1"/>
    </xf>
    <xf numFmtId="0" fontId="23" fillId="0" borderId="2" xfId="13" applyFont="1" applyBorder="1" applyAlignment="1">
      <alignment horizontal="center" vertical="top" wrapText="1"/>
    </xf>
    <xf numFmtId="0" fontId="20" fillId="0" borderId="15" xfId="13" applyFont="1" applyBorder="1" applyAlignment="1">
      <alignment horizontal="center" vertical="top" wrapText="1"/>
    </xf>
    <xf numFmtId="0" fontId="20" fillId="0" borderId="0" xfId="13" applyFont="1" applyBorder="1" applyAlignment="1">
      <alignment horizontal="center" vertical="top" wrapText="1"/>
    </xf>
    <xf numFmtId="0" fontId="21" fillId="0" borderId="15" xfId="13" applyFont="1" applyBorder="1" applyAlignment="1">
      <alignment horizontal="center" vertical="top" wrapText="1"/>
    </xf>
    <xf numFmtId="0" fontId="21" fillId="0" borderId="0" xfId="13" applyFont="1" applyBorder="1" applyAlignment="1">
      <alignment horizontal="center" vertical="top" wrapText="1"/>
    </xf>
    <xf numFmtId="0" fontId="22" fillId="0" borderId="8" xfId="13" applyFont="1" applyBorder="1" applyAlignment="1">
      <alignment horizontal="center" vertical="top"/>
    </xf>
    <xf numFmtId="0" fontId="22" fillId="0" borderId="2" xfId="13" applyFont="1" applyBorder="1" applyAlignment="1">
      <alignment horizontal="center" vertical="top"/>
    </xf>
    <xf numFmtId="165" fontId="5" fillId="0" borderId="0" xfId="1" applyFont="1" applyFill="1" applyBorder="1" applyAlignment="1">
      <alignment horizontal="left" wrapText="1"/>
    </xf>
    <xf numFmtId="165" fontId="5" fillId="0" borderId="0" xfId="1" applyFont="1" applyFill="1" applyBorder="1"/>
    <xf numFmtId="0" fontId="5" fillId="0" borderId="0" xfId="0" applyFont="1"/>
  </cellXfs>
  <cellStyles count="15">
    <cellStyle name="Comma" xfId="1" builtinId="3"/>
    <cellStyle name="Comma 2" xfId="2"/>
    <cellStyle name="Comma 2 2" xfId="4"/>
    <cellStyle name="Comma 2 3" xfId="5"/>
    <cellStyle name="Comma 3" xfId="6"/>
    <cellStyle name="Normal" xfId="0" builtinId="0"/>
    <cellStyle name="Normal 10 2" xfId="7"/>
    <cellStyle name="Normal 2" xfId="3"/>
    <cellStyle name="Normal 2 2" xfId="8"/>
    <cellStyle name="Normal 3" xfId="9"/>
    <cellStyle name="Normal 4" xfId="10"/>
    <cellStyle name="Normal 5" xfId="12"/>
    <cellStyle name="Normal 6" xfId="13"/>
    <cellStyle name="Normal 7" xfId="14"/>
    <cellStyle name="Percent 2" xfId="11"/>
  </cellStyles>
  <dxfs count="28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" refreshedDate="42468.110809027778" createdVersion="3" refreshedVersion="3" minRefreshableVersion="3" recordCount="181">
  <cacheSource type="worksheet">
    <worksheetSource ref="A2:N183" sheet="tds-fi"/>
  </cacheSource>
  <cacheFields count="14">
    <cacheField name="Date" numFmtId="170">
      <sharedItems containsSemiMixedTypes="0" containsNonDate="0" containsDate="1" containsString="0" minDate="2015-04-15T00:00:00" maxDate="2016-04-01T00:00:00"/>
    </cacheField>
    <cacheField name="Particulars" numFmtId="165">
      <sharedItems count="19">
        <s v="Music Broadcast Pvt Ltd"/>
        <s v="Panorama Television Pvt Ltd"/>
        <s v="ASIANET News Network Pvt Ltd"/>
        <s v="ASIANET COMMUNICATION LTD"/>
        <s v="KAL RADIO LIMITED"/>
        <s v="IBroad7 Communication Pvt Ltd"/>
        <s v="Adholics"/>
        <s v="Innov Media"/>
        <s v="Etcetera Entertainment"/>
        <s v="Eg Communications Pvt Ltd"/>
        <s v="TV18 Broadcast Ltd"/>
        <s v="Zee Media Corporation Ltd"/>
        <s v="TV TODAY NETWORK LTD"/>
        <s v="Jagran Prakashan Ltd"/>
        <s v="Hindustan Media Ventures Ltd"/>
        <s v="Khushi Advertising Ideas Pvt Ltd"/>
        <s v="Ibroad Connect Pvt Ltd"/>
        <s v="Mail Today Newspapers Pvt Ltd"/>
        <s v="News24 Broadcast India Ltd"/>
      </sharedItems>
    </cacheField>
    <cacheField name="Gross Total" numFmtId="165">
      <sharedItems containsSemiMixedTypes="0" containsString="0" containsNumber="1" containsInteger="1" minValue="0" maxValue="1317917"/>
    </cacheField>
    <cacheField name="Advertisement Service" numFmtId="165">
      <sharedItems containsSemiMixedTypes="0" containsString="0" containsNumber="1" containsInteger="1" minValue="0" maxValue="1156068"/>
    </cacheField>
    <cacheField name="Service Tax Input  12 %" numFmtId="165">
      <sharedItems containsString="0" containsBlank="1" containsNumber="1" containsInteger="1" minValue="82" maxValue="77425"/>
    </cacheField>
    <cacheField name="Edu.Cess Input on ST 2%" numFmtId="165">
      <sharedItems containsString="0" containsBlank="1" containsNumber="1" containsInteger="1" minValue="1" maxValue="1549"/>
    </cacheField>
    <cacheField name="Sec &amp; Higher Edu Cess Input" numFmtId="165">
      <sharedItems containsString="0" containsBlank="1" containsNumber="1" containsInteger="1" minValue="1" maxValue="774"/>
    </cacheField>
    <cacheField name="Service Tax Input 14%" numFmtId="165">
      <sharedItems containsString="0" containsBlank="1" containsNumber="1" containsInteger="1" minValue="123" maxValue="161849"/>
    </cacheField>
    <cacheField name="Purchase Other Advertisement" numFmtId="165">
      <sharedItems containsString="0" containsBlank="1" containsNumber="1" containsInteger="1" minValue="21640" maxValue="754290"/>
    </cacheField>
    <cacheField name="Swachh Bharat Cess @0.50 Input" numFmtId="165">
      <sharedItems containsString="0" containsBlank="1" containsNumber="1" containsInteger="1" minValue="4" maxValue="3658"/>
    </cacheField>
    <cacheField name="tds to be deducted" numFmtId="165">
      <sharedItems containsSemiMixedTypes="0" containsString="0" containsNumber="1" minValue="0" maxValue="23121.360000000001"/>
    </cacheField>
    <cacheField name="tds deducted" numFmtId="165">
      <sharedItems containsString="0" containsBlank="1" containsNumber="1" containsInteger="1" minValue="0" maxValue="23121"/>
    </cacheField>
    <cacheField name="difference" numFmtId="165">
      <sharedItems containsSemiMixedTypes="0" containsString="0" containsNumber="1" minValue="-6543" maxValue="6392"/>
    </cacheField>
    <cacheField name="tds deposited" numFmtId="165">
      <sharedItems containsString="0" containsBlank="1" containsNumber="1" containsInteger="1" minValue="7746" maxValue="3652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1">
  <r>
    <d v="2015-04-15T00:00:00"/>
    <x v="0"/>
    <n v="34382"/>
    <n v="30600"/>
    <n v="3672"/>
    <n v="73"/>
    <n v="37"/>
    <m/>
    <m/>
    <m/>
    <n v="612"/>
    <n v="612"/>
    <n v="0"/>
    <n v="7746"/>
  </r>
  <r>
    <d v="2015-04-15T00:00:00"/>
    <x v="1"/>
    <n v="82518"/>
    <n v="73440"/>
    <n v="8813"/>
    <n v="177"/>
    <n v="88"/>
    <m/>
    <m/>
    <m/>
    <n v="0"/>
    <m/>
    <n v="0"/>
    <m/>
  </r>
  <r>
    <d v="2015-04-15T00:00:00"/>
    <x v="2"/>
    <n v="57303"/>
    <n v="51000"/>
    <n v="6120"/>
    <n v="122"/>
    <n v="61"/>
    <m/>
    <m/>
    <m/>
    <n v="1020"/>
    <n v="1020"/>
    <n v="0"/>
    <m/>
  </r>
  <r>
    <d v="2015-04-15T00:00:00"/>
    <x v="3"/>
    <n v="84045"/>
    <n v="74800"/>
    <n v="8976"/>
    <n v="180"/>
    <n v="89"/>
    <m/>
    <m/>
    <m/>
    <n v="1496"/>
    <n v="1496"/>
    <n v="0"/>
    <m/>
  </r>
  <r>
    <d v="2015-04-15T00:00:00"/>
    <x v="3"/>
    <n v="42023"/>
    <n v="37400"/>
    <n v="4488"/>
    <n v="90"/>
    <n v="45"/>
    <m/>
    <m/>
    <m/>
    <n v="748"/>
    <n v="748"/>
    <n v="0"/>
    <m/>
  </r>
  <r>
    <d v="2015-04-15T00:00:00"/>
    <x v="3"/>
    <n v="42023"/>
    <n v="37400"/>
    <n v="4488"/>
    <n v="90"/>
    <n v="45"/>
    <m/>
    <m/>
    <m/>
    <n v="748"/>
    <n v="748"/>
    <n v="0"/>
    <m/>
  </r>
  <r>
    <d v="2015-04-15T00:00:00"/>
    <x v="3"/>
    <n v="15280"/>
    <n v="13600"/>
    <n v="1632"/>
    <n v="33"/>
    <n v="15"/>
    <m/>
    <m/>
    <m/>
    <n v="272"/>
    <n v="272"/>
    <n v="0"/>
    <m/>
  </r>
  <r>
    <d v="2015-04-15T00:00:00"/>
    <x v="2"/>
    <n v="22921"/>
    <n v="20400"/>
    <n v="2448"/>
    <n v="49"/>
    <n v="24"/>
    <m/>
    <m/>
    <m/>
    <n v="408"/>
    <n v="408"/>
    <n v="0"/>
    <m/>
  </r>
  <r>
    <d v="2015-04-30T00:00:00"/>
    <x v="4"/>
    <n v="24354"/>
    <n v="21675"/>
    <n v="2601"/>
    <n v="52"/>
    <n v="26"/>
    <m/>
    <m/>
    <m/>
    <n v="433.5"/>
    <n v="434"/>
    <n v="-0.5"/>
    <m/>
  </r>
  <r>
    <d v="2015-04-30T00:00:00"/>
    <x v="1"/>
    <n v="136766"/>
    <n v="121720"/>
    <n v="14606"/>
    <n v="293"/>
    <n v="147"/>
    <m/>
    <m/>
    <m/>
    <n v="0"/>
    <m/>
    <n v="0"/>
    <m/>
  </r>
  <r>
    <d v="2015-04-30T00:00:00"/>
    <x v="1"/>
    <n v="764"/>
    <n v="680"/>
    <n v="82"/>
    <n v="1"/>
    <n v="1"/>
    <m/>
    <m/>
    <m/>
    <n v="0"/>
    <m/>
    <n v="0"/>
    <m/>
  </r>
  <r>
    <d v="2015-04-30T00:00:00"/>
    <x v="5"/>
    <n v="51573"/>
    <n v="45900"/>
    <n v="5508"/>
    <n v="110"/>
    <n v="55"/>
    <m/>
    <m/>
    <m/>
    <n v="918"/>
    <n v="918"/>
    <n v="0"/>
    <m/>
  </r>
  <r>
    <d v="2015-04-30T00:00:00"/>
    <x v="3"/>
    <n v="11460"/>
    <n v="10200"/>
    <n v="1224"/>
    <n v="24"/>
    <n v="12"/>
    <m/>
    <m/>
    <m/>
    <n v="204"/>
    <n v="204"/>
    <n v="0"/>
    <m/>
  </r>
  <r>
    <d v="2015-04-30T00:00:00"/>
    <x v="3"/>
    <n v="11460"/>
    <n v="10200"/>
    <n v="1224"/>
    <n v="24"/>
    <n v="12"/>
    <m/>
    <m/>
    <m/>
    <n v="204"/>
    <n v="204"/>
    <n v="0"/>
    <m/>
  </r>
  <r>
    <d v="2015-04-30T00:00:00"/>
    <x v="3"/>
    <n v="7640"/>
    <n v="6800"/>
    <n v="816"/>
    <n v="16"/>
    <n v="8"/>
    <m/>
    <m/>
    <m/>
    <n v="136"/>
    <n v="136"/>
    <n v="0"/>
    <m/>
  </r>
  <r>
    <d v="2015-04-30T00:00:00"/>
    <x v="3"/>
    <n v="15281"/>
    <n v="13600"/>
    <n v="1632"/>
    <n v="33"/>
    <n v="16"/>
    <m/>
    <m/>
    <m/>
    <n v="272"/>
    <n v="272"/>
    <n v="0"/>
    <m/>
  </r>
  <r>
    <d v="2015-04-30T00:00:00"/>
    <x v="3"/>
    <n v="15281"/>
    <n v="13600"/>
    <n v="1632"/>
    <n v="33"/>
    <n v="16"/>
    <m/>
    <m/>
    <m/>
    <n v="272"/>
    <n v="272"/>
    <n v="0"/>
    <m/>
  </r>
  <r>
    <d v="2015-04-30T00:00:00"/>
    <x v="3"/>
    <n v="7640"/>
    <n v="6800"/>
    <n v="816"/>
    <n v="16"/>
    <n v="8"/>
    <m/>
    <m/>
    <m/>
    <n v="136"/>
    <n v="136"/>
    <n v="0"/>
    <m/>
  </r>
  <r>
    <d v="2015-04-30T00:00:00"/>
    <x v="3"/>
    <n v="7640"/>
    <n v="6800"/>
    <n v="816"/>
    <n v="16"/>
    <n v="8"/>
    <m/>
    <m/>
    <m/>
    <n v="136"/>
    <n v="136"/>
    <n v="0"/>
    <m/>
  </r>
  <r>
    <d v="2015-04-30T00:00:00"/>
    <x v="3"/>
    <n v="15281"/>
    <n v="13600"/>
    <n v="1632"/>
    <n v="33"/>
    <n v="16"/>
    <m/>
    <m/>
    <m/>
    <n v="272"/>
    <n v="272"/>
    <n v="0"/>
    <m/>
  </r>
  <r>
    <d v="2015-04-30T00:00:00"/>
    <x v="3"/>
    <n v="15281"/>
    <n v="13600"/>
    <n v="1632"/>
    <n v="33"/>
    <n v="16"/>
    <m/>
    <m/>
    <m/>
    <n v="272"/>
    <n v="272"/>
    <n v="0"/>
    <m/>
  </r>
  <r>
    <d v="2015-04-30T00:00:00"/>
    <x v="3"/>
    <n v="19101"/>
    <n v="17000"/>
    <n v="2040"/>
    <n v="41"/>
    <n v="20"/>
    <m/>
    <m/>
    <m/>
    <n v="340"/>
    <n v="340"/>
    <n v="0"/>
    <m/>
  </r>
  <r>
    <d v="2015-04-30T00:00:00"/>
    <x v="3"/>
    <n v="22921"/>
    <n v="20400"/>
    <n v="2448"/>
    <n v="49"/>
    <n v="24"/>
    <m/>
    <m/>
    <m/>
    <n v="408"/>
    <n v="408"/>
    <n v="0"/>
    <m/>
  </r>
  <r>
    <d v="2015-04-30T00:00:00"/>
    <x v="3"/>
    <n v="19101"/>
    <n v="17000"/>
    <n v="2040"/>
    <n v="41"/>
    <n v="20"/>
    <m/>
    <m/>
    <m/>
    <n v="340"/>
    <n v="340"/>
    <n v="0"/>
    <m/>
  </r>
  <r>
    <d v="2015-04-30T00:00:00"/>
    <x v="3"/>
    <n v="26742"/>
    <n v="23800"/>
    <n v="2856"/>
    <n v="57"/>
    <n v="29"/>
    <m/>
    <m/>
    <m/>
    <n v="476"/>
    <n v="476"/>
    <n v="0"/>
    <m/>
  </r>
  <r>
    <d v="2015-04-30T00:00:00"/>
    <x v="3"/>
    <n v="19101"/>
    <n v="17000"/>
    <n v="2040"/>
    <n v="41"/>
    <n v="20"/>
    <m/>
    <m/>
    <m/>
    <n v="340"/>
    <n v="340"/>
    <n v="0"/>
    <m/>
  </r>
  <r>
    <d v="2015-04-30T00:00:00"/>
    <x v="5"/>
    <n v="24068"/>
    <n v="21420"/>
    <n v="2570"/>
    <n v="51"/>
    <n v="27"/>
    <m/>
    <m/>
    <m/>
    <n v="428.40000000000003"/>
    <n v="428"/>
    <n v="0.40000000000003411"/>
    <m/>
  </r>
  <r>
    <d v="2015-05-15T00:00:00"/>
    <x v="1"/>
    <n v="9551"/>
    <n v="8500"/>
    <n v="1020"/>
    <n v="20"/>
    <n v="11"/>
    <m/>
    <m/>
    <m/>
    <n v="0"/>
    <n v="0"/>
    <n v="0"/>
    <n v="36529"/>
  </r>
  <r>
    <d v="2015-05-15T00:00:00"/>
    <x v="3"/>
    <n v="168091"/>
    <n v="149600"/>
    <n v="17952"/>
    <n v="359"/>
    <n v="180"/>
    <m/>
    <m/>
    <m/>
    <n v="2992"/>
    <n v="2992"/>
    <n v="0"/>
    <m/>
  </r>
  <r>
    <d v="2015-05-30T00:00:00"/>
    <x v="5"/>
    <n v="724954"/>
    <n v="645206"/>
    <n v="77425"/>
    <n v="1549"/>
    <n v="774"/>
    <m/>
    <m/>
    <m/>
    <n v="12904.12"/>
    <n v="12904"/>
    <n v="0.12000000000080036"/>
    <m/>
  </r>
  <r>
    <d v="2015-05-30T00:00:00"/>
    <x v="5"/>
    <n v="161214"/>
    <n v="143480"/>
    <n v="17218"/>
    <n v="344"/>
    <n v="172"/>
    <m/>
    <m/>
    <m/>
    <n v="2869.6"/>
    <n v="2870"/>
    <n v="-0.40000000000009095"/>
    <m/>
  </r>
  <r>
    <d v="2015-05-30T00:00:00"/>
    <x v="5"/>
    <n v="206938"/>
    <n v="184174"/>
    <n v="22101"/>
    <n v="442"/>
    <n v="221"/>
    <m/>
    <m/>
    <m/>
    <n v="3683.48"/>
    <n v="3683"/>
    <n v="0.48000000000001819"/>
    <m/>
  </r>
  <r>
    <d v="2015-05-30T00:00:00"/>
    <x v="5"/>
    <n v="153459"/>
    <n v="136578"/>
    <n v="16389"/>
    <n v="328"/>
    <n v="164"/>
    <m/>
    <m/>
    <m/>
    <n v="2731.56"/>
    <n v="2732"/>
    <n v="-0.44000000000005457"/>
    <m/>
  </r>
  <r>
    <d v="2015-05-30T00:00:00"/>
    <x v="5"/>
    <n v="323631"/>
    <n v="288031"/>
    <n v="34564"/>
    <n v="691"/>
    <n v="345"/>
    <m/>
    <m/>
    <m/>
    <n v="5760.62"/>
    <n v="5761"/>
    <n v="-0.38000000000010914"/>
    <m/>
  </r>
  <r>
    <d v="2015-05-30T00:00:00"/>
    <x v="5"/>
    <n v="20114"/>
    <n v="17901"/>
    <n v="2148"/>
    <n v="43"/>
    <n v="22"/>
    <m/>
    <m/>
    <m/>
    <n v="358.02"/>
    <n v="358"/>
    <n v="1.999999999998181E-2"/>
    <m/>
  </r>
  <r>
    <d v="2015-05-30T00:00:00"/>
    <x v="5"/>
    <n v="64180"/>
    <n v="57120"/>
    <n v="6854"/>
    <n v="137"/>
    <n v="69"/>
    <m/>
    <m/>
    <m/>
    <n v="1142.4000000000001"/>
    <n v="1142"/>
    <n v="0.40000000000009095"/>
    <m/>
  </r>
  <r>
    <d v="2015-05-30T00:00:00"/>
    <x v="5"/>
    <n v="34454"/>
    <n v="30664"/>
    <n v="3680"/>
    <n v="74"/>
    <n v="36"/>
    <m/>
    <m/>
    <m/>
    <n v="613.28"/>
    <n v="613"/>
    <n v="0.27999999999997272"/>
    <m/>
  </r>
  <r>
    <d v="2015-05-30T00:00:00"/>
    <x v="5"/>
    <n v="314597"/>
    <n v="279990"/>
    <n v="33599"/>
    <n v="672"/>
    <n v="336"/>
    <m/>
    <m/>
    <m/>
    <n v="5599.8"/>
    <n v="5600"/>
    <n v="-0.1999999999998181"/>
    <m/>
  </r>
  <r>
    <d v="2015-05-30T00:00:00"/>
    <x v="5"/>
    <n v="42376"/>
    <n v="37715"/>
    <n v="4526"/>
    <n v="91"/>
    <n v="44"/>
    <m/>
    <m/>
    <m/>
    <n v="754.30000000000007"/>
    <n v="754"/>
    <n v="0.30000000000006821"/>
    <m/>
  </r>
  <r>
    <d v="2015-05-31T00:00:00"/>
    <x v="3"/>
    <n v="5730"/>
    <n v="5100"/>
    <n v="612"/>
    <n v="12"/>
    <n v="6"/>
    <m/>
    <m/>
    <m/>
    <n v="102"/>
    <n v="102"/>
    <n v="0"/>
    <m/>
  </r>
  <r>
    <d v="2015-05-31T00:00:00"/>
    <x v="3"/>
    <n v="3820"/>
    <n v="3400"/>
    <n v="408"/>
    <n v="8"/>
    <n v="4"/>
    <m/>
    <m/>
    <m/>
    <n v="68"/>
    <n v="68"/>
    <n v="0"/>
    <m/>
  </r>
  <r>
    <d v="2015-05-31T00:00:00"/>
    <x v="3"/>
    <n v="7640"/>
    <n v="6800"/>
    <n v="816"/>
    <n v="16"/>
    <n v="8"/>
    <m/>
    <m/>
    <m/>
    <n v="136"/>
    <n v="136"/>
    <n v="0"/>
    <m/>
  </r>
  <r>
    <d v="2015-05-31T00:00:00"/>
    <x v="3"/>
    <n v="5730"/>
    <n v="5100"/>
    <n v="612"/>
    <n v="12"/>
    <n v="6"/>
    <m/>
    <m/>
    <m/>
    <n v="102"/>
    <n v="102"/>
    <n v="0"/>
    <m/>
  </r>
  <r>
    <d v="2015-05-31T00:00:00"/>
    <x v="3"/>
    <n v="7640"/>
    <n v="6800"/>
    <n v="816"/>
    <n v="16"/>
    <n v="8"/>
    <m/>
    <m/>
    <m/>
    <n v="136"/>
    <n v="136"/>
    <n v="0"/>
    <m/>
  </r>
  <r>
    <d v="2015-05-31T00:00:00"/>
    <x v="3"/>
    <n v="1910"/>
    <n v="1700"/>
    <n v="204"/>
    <n v="4"/>
    <n v="2"/>
    <m/>
    <m/>
    <m/>
    <n v="34"/>
    <n v="34"/>
    <n v="0"/>
    <m/>
  </r>
  <r>
    <d v="2015-05-31T00:00:00"/>
    <x v="3"/>
    <n v="15281"/>
    <n v="13600"/>
    <n v="1632"/>
    <n v="33"/>
    <n v="16"/>
    <m/>
    <m/>
    <m/>
    <n v="272"/>
    <n v="272"/>
    <n v="0"/>
    <m/>
  </r>
  <r>
    <d v="2015-05-31T00:00:00"/>
    <x v="3"/>
    <n v="1910"/>
    <n v="1700"/>
    <n v="204"/>
    <n v="4"/>
    <n v="2"/>
    <m/>
    <m/>
    <m/>
    <n v="34"/>
    <n v="34"/>
    <n v="0"/>
    <m/>
  </r>
  <r>
    <d v="2015-05-31T00:00:00"/>
    <x v="3"/>
    <n v="11460"/>
    <n v="10200"/>
    <n v="1224"/>
    <n v="24"/>
    <n v="12"/>
    <m/>
    <m/>
    <m/>
    <n v="204"/>
    <n v="204"/>
    <n v="0"/>
    <m/>
  </r>
  <r>
    <d v="2015-05-31T00:00:00"/>
    <x v="3"/>
    <n v="91686"/>
    <n v="81600"/>
    <n v="9792"/>
    <n v="196"/>
    <n v="98"/>
    <m/>
    <m/>
    <m/>
    <n v="1632"/>
    <n v="1632"/>
    <n v="0"/>
    <m/>
  </r>
  <r>
    <d v="2015-05-31T00:00:00"/>
    <x v="1"/>
    <n v="9932"/>
    <n v="8840"/>
    <n v="1061"/>
    <n v="21"/>
    <n v="10"/>
    <m/>
    <m/>
    <m/>
    <n v="0"/>
    <m/>
    <n v="0"/>
    <m/>
  </r>
  <r>
    <d v="2015-05-31T00:00:00"/>
    <x v="1"/>
    <n v="96653"/>
    <n v="86020"/>
    <n v="10332"/>
    <n v="207"/>
    <n v="94"/>
    <m/>
    <m/>
    <m/>
    <n v="0"/>
    <m/>
    <n v="0"/>
    <m/>
  </r>
  <r>
    <d v="2015-06-15T00:00:00"/>
    <x v="3"/>
    <n v="155040"/>
    <n v="136000"/>
    <m/>
    <m/>
    <m/>
    <n v="19040"/>
    <m/>
    <m/>
    <n v="2720"/>
    <n v="2720"/>
    <n v="0"/>
    <m/>
  </r>
  <r>
    <d v="2015-06-15T00:00:00"/>
    <x v="3"/>
    <n v="15504"/>
    <n v="13600"/>
    <m/>
    <m/>
    <m/>
    <n v="1904"/>
    <m/>
    <m/>
    <n v="272"/>
    <n v="272"/>
    <n v="0"/>
    <m/>
  </r>
  <r>
    <d v="2015-06-15T00:00:00"/>
    <x v="1"/>
    <n v="151164"/>
    <n v="132600"/>
    <m/>
    <m/>
    <m/>
    <n v="18564"/>
    <m/>
    <m/>
    <n v="0"/>
    <m/>
    <n v="0"/>
    <m/>
  </r>
  <r>
    <d v="2015-06-30T00:00:00"/>
    <x v="5"/>
    <n v="31977"/>
    <n v="28050"/>
    <m/>
    <m/>
    <m/>
    <n v="3927"/>
    <m/>
    <m/>
    <n v="561"/>
    <n v="561"/>
    <n v="0"/>
    <m/>
  </r>
  <r>
    <d v="2015-06-30T00:00:00"/>
    <x v="5"/>
    <n v="6105"/>
    <n v="5355"/>
    <m/>
    <m/>
    <m/>
    <n v="750"/>
    <m/>
    <m/>
    <n v="107.10000000000001"/>
    <n v="107"/>
    <n v="0.10000000000000853"/>
    <m/>
  </r>
  <r>
    <d v="2015-06-30T00:00:00"/>
    <x v="5"/>
    <n v="30524"/>
    <n v="26775"/>
    <m/>
    <m/>
    <m/>
    <n v="3749"/>
    <m/>
    <m/>
    <n v="535.5"/>
    <n v="536"/>
    <n v="-0.5"/>
    <m/>
  </r>
  <r>
    <d v="2015-06-30T00:00:00"/>
    <x v="5"/>
    <n v="51105"/>
    <n v="44829"/>
    <m/>
    <m/>
    <m/>
    <n v="6276"/>
    <m/>
    <m/>
    <n v="896.58"/>
    <n v="896"/>
    <n v="0.58000000000004093"/>
    <m/>
  </r>
  <r>
    <d v="2015-06-30T00:00:00"/>
    <x v="5"/>
    <n v="253308"/>
    <n v="222200"/>
    <m/>
    <m/>
    <m/>
    <n v="31108"/>
    <m/>
    <m/>
    <n v="4444"/>
    <n v="4444"/>
    <n v="0"/>
    <m/>
  </r>
  <r>
    <d v="2015-06-30T00:00:00"/>
    <x v="5"/>
    <n v="29593"/>
    <n v="25959"/>
    <m/>
    <m/>
    <m/>
    <n v="3634"/>
    <m/>
    <m/>
    <n v="519.18000000000006"/>
    <n v="519"/>
    <n v="0.18000000000006366"/>
    <m/>
  </r>
  <r>
    <d v="2015-06-30T00:00:00"/>
    <x v="5"/>
    <n v="26454"/>
    <n v="23205"/>
    <m/>
    <m/>
    <m/>
    <n v="3249"/>
    <m/>
    <m/>
    <n v="464.1"/>
    <n v="464"/>
    <n v="0.10000000000002274"/>
    <m/>
  </r>
  <r>
    <d v="2015-06-30T00:00:00"/>
    <x v="5"/>
    <n v="193272"/>
    <n v="169537"/>
    <m/>
    <m/>
    <m/>
    <n v="23735"/>
    <m/>
    <m/>
    <n v="3390.7400000000002"/>
    <n v="3391"/>
    <n v="-0.25999999999976353"/>
    <m/>
  </r>
  <r>
    <d v="2015-06-30T00:00:00"/>
    <x v="1"/>
    <n v="30233"/>
    <n v="26520"/>
    <m/>
    <m/>
    <m/>
    <n v="3713"/>
    <m/>
    <m/>
    <n v="0"/>
    <m/>
    <n v="0"/>
    <m/>
  </r>
  <r>
    <d v="2015-06-30T00:00:00"/>
    <x v="1"/>
    <n v="12791"/>
    <n v="11220"/>
    <m/>
    <m/>
    <m/>
    <n v="1571"/>
    <m/>
    <m/>
    <n v="0"/>
    <m/>
    <n v="0"/>
    <m/>
  </r>
  <r>
    <d v="2015-06-30T00:00:00"/>
    <x v="1"/>
    <n v="38372"/>
    <n v="33660"/>
    <m/>
    <m/>
    <m/>
    <n v="4712"/>
    <m/>
    <m/>
    <n v="0"/>
    <m/>
    <n v="0"/>
    <m/>
  </r>
  <r>
    <d v="2015-06-30T00:00:00"/>
    <x v="3"/>
    <n v="62016"/>
    <n v="54400"/>
    <m/>
    <m/>
    <m/>
    <n v="7616"/>
    <m/>
    <m/>
    <n v="1088"/>
    <n v="1088"/>
    <n v="0"/>
    <m/>
  </r>
  <r>
    <d v="2015-07-17T00:00:00"/>
    <x v="6"/>
    <n v="0"/>
    <n v="0"/>
    <m/>
    <m/>
    <m/>
    <m/>
    <m/>
    <m/>
    <n v="0"/>
    <n v="760"/>
    <n v="-760"/>
    <m/>
  </r>
  <r>
    <d v="2015-07-15T00:00:00"/>
    <x v="1"/>
    <n v="21899"/>
    <n v="19210"/>
    <m/>
    <m/>
    <m/>
    <n v="2689"/>
    <m/>
    <m/>
    <n v="0"/>
    <m/>
    <n v="0"/>
    <m/>
  </r>
  <r>
    <d v="2015-07-22T00:00:00"/>
    <x v="7"/>
    <n v="111720"/>
    <n v="98000"/>
    <m/>
    <m/>
    <m/>
    <n v="13720"/>
    <m/>
    <m/>
    <n v="1960"/>
    <n v="2234"/>
    <n v="-274"/>
    <m/>
  </r>
  <r>
    <d v="2015-07-31T00:00:00"/>
    <x v="1"/>
    <n v="11240"/>
    <n v="9860"/>
    <m/>
    <m/>
    <m/>
    <n v="1380"/>
    <m/>
    <m/>
    <n v="0"/>
    <m/>
    <n v="0"/>
    <m/>
  </r>
  <r>
    <d v="2015-07-31T00:00:00"/>
    <x v="5"/>
    <n v="34012"/>
    <n v="29835"/>
    <m/>
    <m/>
    <m/>
    <n v="4177"/>
    <m/>
    <m/>
    <n v="596.70000000000005"/>
    <n v="597"/>
    <n v="-0.29999999999995453"/>
    <m/>
  </r>
  <r>
    <d v="2015-07-31T00:00:00"/>
    <x v="5"/>
    <n v="143013"/>
    <n v="125450"/>
    <m/>
    <m/>
    <m/>
    <n v="17563"/>
    <m/>
    <m/>
    <n v="2509"/>
    <n v="2509"/>
    <n v="0"/>
    <m/>
  </r>
  <r>
    <d v="2015-07-31T00:00:00"/>
    <x v="5"/>
    <n v="60175"/>
    <n v="52785"/>
    <m/>
    <m/>
    <m/>
    <n v="7390"/>
    <m/>
    <m/>
    <n v="1055.7"/>
    <n v="1056"/>
    <n v="-0.29999999999995453"/>
    <m/>
  </r>
  <r>
    <d v="2015-07-31T00:00:00"/>
    <x v="5"/>
    <n v="40014"/>
    <n v="35100"/>
    <m/>
    <m/>
    <m/>
    <n v="4914"/>
    <m/>
    <m/>
    <n v="702"/>
    <n v="702"/>
    <n v="0"/>
    <m/>
  </r>
  <r>
    <d v="2015-07-31T00:00:00"/>
    <x v="5"/>
    <n v="195856"/>
    <n v="171803"/>
    <m/>
    <m/>
    <m/>
    <n v="24053"/>
    <m/>
    <m/>
    <n v="3436.06"/>
    <n v="3436"/>
    <n v="5.999999999994543E-2"/>
    <m/>
  </r>
  <r>
    <d v="2015-07-31T00:00:00"/>
    <x v="5"/>
    <n v="81745"/>
    <n v="71706"/>
    <m/>
    <m/>
    <m/>
    <n v="10039"/>
    <m/>
    <m/>
    <n v="1434.1200000000001"/>
    <n v="2854"/>
    <n v="-1419.8799999999999"/>
    <m/>
  </r>
  <r>
    <d v="2015-08-01T00:00:00"/>
    <x v="8"/>
    <n v="200640"/>
    <n v="176000"/>
    <m/>
    <m/>
    <m/>
    <n v="24640"/>
    <m/>
    <m/>
    <n v="3520"/>
    <n v="4013"/>
    <n v="-493"/>
    <m/>
  </r>
  <r>
    <d v="2015-08-01T00:00:00"/>
    <x v="8"/>
    <n v="6156"/>
    <n v="5400"/>
    <m/>
    <m/>
    <m/>
    <n v="756"/>
    <m/>
    <m/>
    <n v="108"/>
    <n v="123"/>
    <n v="-15"/>
    <m/>
  </r>
  <r>
    <d v="2015-08-05T00:00:00"/>
    <x v="9"/>
    <n v="554040"/>
    <n v="486000"/>
    <m/>
    <m/>
    <m/>
    <n v="68040"/>
    <n v="486000"/>
    <m/>
    <n v="9720"/>
    <n v="9720"/>
    <n v="0"/>
    <m/>
  </r>
  <r>
    <d v="2015-08-27T00:00:00"/>
    <x v="9"/>
    <n v="554040"/>
    <n v="486000"/>
    <m/>
    <m/>
    <m/>
    <n v="68040"/>
    <n v="486000"/>
    <m/>
    <n v="9720"/>
    <n v="9720"/>
    <n v="0"/>
    <m/>
  </r>
  <r>
    <d v="2015-08-31T00:00:00"/>
    <x v="10"/>
    <n v="90288"/>
    <n v="79200"/>
    <m/>
    <m/>
    <m/>
    <n v="11088"/>
    <m/>
    <m/>
    <n v="1584"/>
    <n v="4514"/>
    <n v="-2930"/>
    <m/>
  </r>
  <r>
    <d v="2015-08-31T00:00:00"/>
    <x v="5"/>
    <n v="435452"/>
    <n v="381975"/>
    <m/>
    <m/>
    <m/>
    <n v="53477"/>
    <m/>
    <m/>
    <n v="7639.5"/>
    <n v="7640"/>
    <n v="-0.5"/>
    <m/>
  </r>
  <r>
    <d v="2015-08-31T00:00:00"/>
    <x v="5"/>
    <n v="26391"/>
    <n v="23150"/>
    <m/>
    <m/>
    <m/>
    <n v="3241"/>
    <m/>
    <m/>
    <n v="463"/>
    <n v="463"/>
    <n v="0"/>
    <m/>
  </r>
  <r>
    <d v="2015-08-31T00:00:00"/>
    <x v="5"/>
    <n v="44190"/>
    <n v="43281"/>
    <m/>
    <m/>
    <m/>
    <n v="909"/>
    <n v="43281"/>
    <m/>
    <n v="865.62"/>
    <n v="865"/>
    <n v="0.62000000000000455"/>
    <m/>
  </r>
  <r>
    <d v="2015-08-31T00:00:00"/>
    <x v="5"/>
    <n v="70327"/>
    <n v="61690"/>
    <m/>
    <m/>
    <m/>
    <n v="8637"/>
    <m/>
    <m/>
    <n v="1233.8"/>
    <n v="1234"/>
    <n v="-0.20000000000004547"/>
    <m/>
  </r>
  <r>
    <d v="2015-08-31T00:00:00"/>
    <x v="5"/>
    <n v="40014"/>
    <n v="35100"/>
    <m/>
    <m/>
    <m/>
    <n v="4914"/>
    <m/>
    <m/>
    <n v="702"/>
    <n v="702"/>
    <n v="0"/>
    <m/>
  </r>
  <r>
    <d v="2015-08-31T00:00:00"/>
    <x v="11"/>
    <n v="124032"/>
    <n v="108800"/>
    <m/>
    <m/>
    <m/>
    <n v="15232"/>
    <m/>
    <m/>
    <n v="2176"/>
    <n v="8160"/>
    <n v="-5984"/>
    <m/>
  </r>
  <r>
    <d v="2015-09-07T00:00:00"/>
    <x v="6"/>
    <n v="38019"/>
    <n v="33350"/>
    <m/>
    <m/>
    <m/>
    <n v="4669"/>
    <n v="33350"/>
    <m/>
    <n v="667"/>
    <n v="0"/>
    <n v="667"/>
    <m/>
  </r>
  <r>
    <d v="2015-09-15T00:00:00"/>
    <x v="3"/>
    <n v="75240"/>
    <n v="66000"/>
    <m/>
    <m/>
    <m/>
    <n v="9240"/>
    <m/>
    <m/>
    <n v="1320"/>
    <n v="1320"/>
    <n v="0"/>
    <m/>
  </r>
  <r>
    <d v="2015-09-15T00:00:00"/>
    <x v="3"/>
    <n v="37620"/>
    <n v="33000"/>
    <m/>
    <m/>
    <m/>
    <n v="4620"/>
    <m/>
    <m/>
    <n v="660"/>
    <n v="660"/>
    <n v="0"/>
    <m/>
  </r>
  <r>
    <d v="2015-09-15T00:00:00"/>
    <x v="3"/>
    <n v="18810"/>
    <n v="16500"/>
    <m/>
    <m/>
    <m/>
    <n v="2310"/>
    <m/>
    <m/>
    <n v="330"/>
    <n v="330"/>
    <n v="0"/>
    <m/>
  </r>
  <r>
    <d v="2015-09-15T00:00:00"/>
    <x v="3"/>
    <n v="18810"/>
    <n v="16500"/>
    <m/>
    <m/>
    <m/>
    <n v="2310"/>
    <m/>
    <m/>
    <n v="330"/>
    <n v="330"/>
    <n v="0"/>
    <m/>
  </r>
  <r>
    <d v="2015-09-15T00:00:00"/>
    <x v="11"/>
    <n v="93024"/>
    <n v="81600"/>
    <m/>
    <m/>
    <m/>
    <n v="11424"/>
    <m/>
    <m/>
    <n v="1632"/>
    <n v="8175"/>
    <n v="-6543"/>
    <m/>
  </r>
  <r>
    <d v="2015-09-15T00:00:00"/>
    <x v="11"/>
    <n v="364344"/>
    <n v="319600"/>
    <m/>
    <m/>
    <m/>
    <n v="44744"/>
    <m/>
    <m/>
    <n v="6392"/>
    <m/>
    <n v="6392"/>
    <m/>
  </r>
  <r>
    <d v="2015-09-15T00:00:00"/>
    <x v="5"/>
    <n v="53780"/>
    <n v="47175"/>
    <m/>
    <m/>
    <m/>
    <n v="6605"/>
    <m/>
    <m/>
    <n v="943.5"/>
    <n v="943"/>
    <n v="0.5"/>
    <m/>
  </r>
  <r>
    <d v="2015-09-15T00:00:00"/>
    <x v="5"/>
    <n v="721251"/>
    <n v="632676"/>
    <m/>
    <m/>
    <m/>
    <n v="88575"/>
    <m/>
    <m/>
    <n v="12653.52"/>
    <n v="12654"/>
    <n v="-0.47999999999956344"/>
    <m/>
  </r>
  <r>
    <d v="2015-09-30T00:00:00"/>
    <x v="10"/>
    <n v="342342"/>
    <n v="300300"/>
    <m/>
    <m/>
    <m/>
    <n v="42042"/>
    <m/>
    <m/>
    <n v="6006"/>
    <n v="8343"/>
    <n v="-2337"/>
    <m/>
  </r>
  <r>
    <d v="2015-09-30T00:00:00"/>
    <x v="10"/>
    <n v="63954"/>
    <n v="56100"/>
    <m/>
    <m/>
    <m/>
    <n v="7854"/>
    <m/>
    <m/>
    <n v="1122"/>
    <n v="1770"/>
    <n v="-648"/>
    <m/>
  </r>
  <r>
    <d v="2015-09-30T00:00:00"/>
    <x v="1"/>
    <n v="72287"/>
    <n v="63410"/>
    <m/>
    <m/>
    <m/>
    <n v="8877"/>
    <m/>
    <m/>
    <n v="0"/>
    <m/>
    <n v="0"/>
    <m/>
  </r>
  <r>
    <d v="2015-09-30T00:00:00"/>
    <x v="5"/>
    <n v="387212"/>
    <n v="339660"/>
    <m/>
    <m/>
    <m/>
    <n v="47552"/>
    <m/>
    <m/>
    <n v="6793.2"/>
    <n v="6793"/>
    <n v="0.1999999999998181"/>
    <m/>
  </r>
  <r>
    <d v="2015-09-30T00:00:00"/>
    <x v="5"/>
    <n v="265292"/>
    <n v="232712"/>
    <m/>
    <m/>
    <m/>
    <n v="32580"/>
    <m/>
    <m/>
    <n v="4654.24"/>
    <n v="4654"/>
    <n v="0.23999999999978172"/>
    <m/>
  </r>
  <r>
    <d v="2015-09-30T00:00:00"/>
    <x v="5"/>
    <n v="35910"/>
    <n v="31500"/>
    <m/>
    <m/>
    <m/>
    <n v="4410"/>
    <m/>
    <m/>
    <n v="630"/>
    <n v="630"/>
    <n v="0"/>
    <m/>
  </r>
  <r>
    <d v="2015-09-30T00:00:00"/>
    <x v="5"/>
    <n v="11337"/>
    <n v="9945"/>
    <m/>
    <m/>
    <m/>
    <n v="1392"/>
    <m/>
    <m/>
    <n v="198.9"/>
    <n v="199"/>
    <n v="-9.9999999999994316E-2"/>
    <m/>
  </r>
  <r>
    <d v="2015-09-30T00:00:00"/>
    <x v="3"/>
    <n v="150480"/>
    <n v="132000"/>
    <m/>
    <m/>
    <m/>
    <n v="18480"/>
    <m/>
    <m/>
    <n v="2640"/>
    <n v="2640"/>
    <n v="0"/>
    <m/>
  </r>
  <r>
    <d v="2015-09-30T00:00:00"/>
    <x v="3"/>
    <n v="75240"/>
    <n v="66000"/>
    <m/>
    <m/>
    <m/>
    <n v="9240"/>
    <m/>
    <m/>
    <n v="1320"/>
    <n v="1320"/>
    <n v="0"/>
    <m/>
  </r>
  <r>
    <d v="2015-09-30T00:00:00"/>
    <x v="3"/>
    <n v="75240"/>
    <n v="66000"/>
    <m/>
    <m/>
    <m/>
    <n v="9240"/>
    <m/>
    <m/>
    <n v="1320"/>
    <n v="1320"/>
    <n v="0"/>
    <m/>
  </r>
  <r>
    <d v="2015-09-30T00:00:00"/>
    <x v="11"/>
    <n v="337212"/>
    <n v="295800"/>
    <m/>
    <m/>
    <m/>
    <n v="41412"/>
    <m/>
    <m/>
    <n v="5916"/>
    <m/>
    <n v="5916"/>
    <m/>
  </r>
  <r>
    <d v="2015-10-05T00:00:00"/>
    <x v="9"/>
    <n v="554040"/>
    <n v="486000"/>
    <m/>
    <m/>
    <m/>
    <n v="68040"/>
    <n v="486000"/>
    <m/>
    <n v="9720"/>
    <n v="9720"/>
    <n v="0"/>
    <m/>
  </r>
  <r>
    <d v="2015-10-15T00:00:00"/>
    <x v="1"/>
    <n v="144381"/>
    <n v="126650"/>
    <m/>
    <m/>
    <m/>
    <n v="17731"/>
    <m/>
    <m/>
    <n v="0"/>
    <m/>
    <n v="0"/>
    <m/>
  </r>
  <r>
    <d v="2015-10-15T00:00:00"/>
    <x v="1"/>
    <n v="112016"/>
    <n v="98260"/>
    <m/>
    <m/>
    <m/>
    <n v="13756"/>
    <m/>
    <m/>
    <n v="0"/>
    <m/>
    <n v="0"/>
    <m/>
  </r>
  <r>
    <d v="2015-10-15T00:00:00"/>
    <x v="3"/>
    <n v="150480"/>
    <n v="132000"/>
    <m/>
    <m/>
    <m/>
    <n v="18480"/>
    <m/>
    <m/>
    <n v="2640"/>
    <n v="2640"/>
    <n v="0"/>
    <m/>
  </r>
  <r>
    <d v="2015-10-15T00:00:00"/>
    <x v="11"/>
    <n v="261630"/>
    <n v="229500"/>
    <m/>
    <m/>
    <m/>
    <n v="32130"/>
    <m/>
    <m/>
    <n v="4590"/>
    <n v="4590"/>
    <n v="0"/>
    <m/>
  </r>
  <r>
    <d v="2015-10-27T00:00:00"/>
    <x v="12"/>
    <n v="17442"/>
    <n v="15300"/>
    <m/>
    <m/>
    <m/>
    <n v="2142"/>
    <m/>
    <m/>
    <n v="306"/>
    <n v="306"/>
    <n v="0"/>
    <m/>
  </r>
  <r>
    <d v="2015-10-31T00:00:00"/>
    <x v="10"/>
    <n v="283404"/>
    <n v="248600"/>
    <m/>
    <m/>
    <m/>
    <n v="34804"/>
    <m/>
    <m/>
    <n v="4972"/>
    <n v="4972"/>
    <n v="0"/>
    <m/>
  </r>
  <r>
    <d v="2015-10-31T00:00:00"/>
    <x v="10"/>
    <n v="1710"/>
    <n v="1500"/>
    <m/>
    <m/>
    <m/>
    <n v="210"/>
    <m/>
    <m/>
    <n v="30"/>
    <n v="30"/>
    <n v="0"/>
    <m/>
  </r>
  <r>
    <d v="2015-10-31T00:00:00"/>
    <x v="10"/>
    <n v="99180"/>
    <n v="87000"/>
    <m/>
    <m/>
    <m/>
    <n v="12180"/>
    <m/>
    <m/>
    <n v="1740"/>
    <n v="1740"/>
    <n v="0"/>
    <m/>
  </r>
  <r>
    <d v="2015-10-31T00:00:00"/>
    <x v="1"/>
    <n v="112016"/>
    <n v="98260"/>
    <m/>
    <m/>
    <m/>
    <n v="13756"/>
    <m/>
    <m/>
    <n v="0"/>
    <m/>
    <n v="0"/>
    <m/>
  </r>
  <r>
    <d v="2015-10-31T00:00:00"/>
    <x v="1"/>
    <n v="134691"/>
    <n v="118150"/>
    <m/>
    <m/>
    <m/>
    <n v="16541"/>
    <m/>
    <m/>
    <n v="0"/>
    <m/>
    <n v="0"/>
    <m/>
  </r>
  <r>
    <d v="2015-10-31T00:00:00"/>
    <x v="11"/>
    <n v="620160"/>
    <n v="544000"/>
    <m/>
    <m/>
    <m/>
    <n v="76160"/>
    <m/>
    <m/>
    <n v="10880"/>
    <n v="10880"/>
    <n v="0"/>
    <m/>
  </r>
  <r>
    <d v="2015-10-31T00:00:00"/>
    <x v="5"/>
    <n v="150155"/>
    <n v="131715"/>
    <m/>
    <m/>
    <m/>
    <n v="18440"/>
    <m/>
    <m/>
    <n v="2634.3"/>
    <n v="2634"/>
    <n v="0.3000000000001819"/>
    <m/>
  </r>
  <r>
    <d v="2015-10-31T00:00:00"/>
    <x v="5"/>
    <n v="124503"/>
    <n v="109213"/>
    <m/>
    <m/>
    <m/>
    <n v="15290"/>
    <m/>
    <m/>
    <n v="2184.2600000000002"/>
    <n v="2184"/>
    <n v="0.26000000000021828"/>
    <m/>
  </r>
  <r>
    <d v="2015-10-31T00:00:00"/>
    <x v="5"/>
    <n v="606954"/>
    <n v="532416"/>
    <m/>
    <m/>
    <m/>
    <n v="74538"/>
    <m/>
    <m/>
    <n v="10648.32"/>
    <n v="10648"/>
    <n v="0.31999999999970896"/>
    <m/>
  </r>
  <r>
    <d v="2015-10-31T00:00:00"/>
    <x v="5"/>
    <n v="1317917"/>
    <n v="1156068"/>
    <m/>
    <m/>
    <m/>
    <n v="161849"/>
    <m/>
    <m/>
    <n v="23121.360000000001"/>
    <n v="23121"/>
    <n v="0.36000000000058208"/>
    <m/>
  </r>
  <r>
    <d v="2015-11-14T00:00:00"/>
    <x v="11"/>
    <n v="271320"/>
    <n v="238000"/>
    <m/>
    <m/>
    <m/>
    <n v="33320"/>
    <m/>
    <m/>
    <n v="4760"/>
    <n v="4541"/>
    <n v="219"/>
    <m/>
  </r>
  <r>
    <d v="2015-11-14T00:00:00"/>
    <x v="1"/>
    <n v="62403"/>
    <n v="54740"/>
    <m/>
    <m/>
    <m/>
    <n v="7663"/>
    <m/>
    <m/>
    <n v="0"/>
    <m/>
    <n v="0"/>
    <m/>
  </r>
  <r>
    <d v="2015-11-14T00:00:00"/>
    <x v="5"/>
    <n v="44190"/>
    <n v="43281"/>
    <m/>
    <m/>
    <m/>
    <n v="909"/>
    <n v="43281"/>
    <m/>
    <n v="865.62"/>
    <n v="866"/>
    <n v="-0.37999999999999545"/>
    <m/>
  </r>
  <r>
    <d v="2015-11-14T00:00:00"/>
    <x v="5"/>
    <n v="144969"/>
    <n v="127166"/>
    <m/>
    <m/>
    <m/>
    <n v="17803"/>
    <n v="127166"/>
    <m/>
    <n v="2543.3200000000002"/>
    <n v="2543"/>
    <n v="0.32000000000016371"/>
    <m/>
  </r>
  <r>
    <d v="2015-11-14T00:00:00"/>
    <x v="12"/>
    <n v="47966"/>
    <n v="42075"/>
    <m/>
    <m/>
    <m/>
    <n v="5891"/>
    <m/>
    <m/>
    <n v="841.5"/>
    <n v="842"/>
    <n v="-0.5"/>
    <m/>
  </r>
  <r>
    <d v="2015-11-14T00:00:00"/>
    <x v="5"/>
    <n v="859891"/>
    <n v="754290"/>
    <m/>
    <m/>
    <m/>
    <n v="105601"/>
    <n v="754290"/>
    <m/>
    <n v="15085.800000000001"/>
    <n v="15086"/>
    <n v="-0.19999999999890861"/>
    <m/>
  </r>
  <r>
    <d v="2015-11-30T00:00:00"/>
    <x v="5"/>
    <n v="99855"/>
    <n v="87210"/>
    <m/>
    <m/>
    <m/>
    <n v="12209"/>
    <n v="87210"/>
    <n v="436"/>
    <n v="1744.2"/>
    <n v="1744"/>
    <n v="0.20000000000004547"/>
    <m/>
  </r>
  <r>
    <d v="2015-11-30T00:00:00"/>
    <x v="12"/>
    <n v="17518"/>
    <n v="15299"/>
    <m/>
    <m/>
    <m/>
    <n v="2142"/>
    <m/>
    <n v="77"/>
    <n v="305.98"/>
    <n v="306"/>
    <n v="-1.999999999998181E-2"/>
    <m/>
  </r>
  <r>
    <d v="2015-11-30T00:00:00"/>
    <x v="1"/>
    <n v="125744"/>
    <n v="109820"/>
    <m/>
    <m/>
    <m/>
    <n v="15375"/>
    <m/>
    <n v="549"/>
    <n v="0"/>
    <m/>
    <n v="0"/>
    <m/>
  </r>
  <r>
    <d v="2015-11-30T00:00:00"/>
    <x v="5"/>
    <n v="803515"/>
    <n v="701760"/>
    <m/>
    <m/>
    <m/>
    <n v="98246"/>
    <n v="701760"/>
    <n v="3509"/>
    <n v="14035.2"/>
    <n v="14035"/>
    <n v="0.2000000000007276"/>
    <m/>
  </r>
  <r>
    <d v="2015-12-08T00:00:00"/>
    <x v="13"/>
    <n v="133200"/>
    <n v="133200"/>
    <m/>
    <m/>
    <m/>
    <m/>
    <n v="133200"/>
    <m/>
    <n v="0"/>
    <m/>
    <n v="0"/>
    <m/>
  </r>
  <r>
    <d v="2015-12-09T00:00:00"/>
    <x v="14"/>
    <n v="93500"/>
    <n v="93500"/>
    <m/>
    <m/>
    <m/>
    <m/>
    <n v="93500"/>
    <m/>
    <n v="0"/>
    <m/>
    <n v="0"/>
    <m/>
  </r>
  <r>
    <d v="2015-12-15T00:00:00"/>
    <x v="1"/>
    <n v="31922"/>
    <n v="27880"/>
    <m/>
    <m/>
    <m/>
    <n v="3903"/>
    <m/>
    <n v="139"/>
    <n v="0"/>
    <m/>
    <n v="0"/>
    <m/>
  </r>
  <r>
    <d v="2015-12-15T00:00:00"/>
    <x v="12"/>
    <n v="26278"/>
    <n v="22950"/>
    <m/>
    <m/>
    <m/>
    <n v="3213"/>
    <m/>
    <n v="115"/>
    <n v="459"/>
    <n v="479"/>
    <n v="-20"/>
    <m/>
  </r>
  <r>
    <d v="2015-12-15T00:00:00"/>
    <x v="1"/>
    <n v="51525"/>
    <n v="45000"/>
    <m/>
    <m/>
    <m/>
    <n v="6300"/>
    <m/>
    <n v="225"/>
    <n v="0"/>
    <m/>
    <n v="0"/>
    <m/>
  </r>
  <r>
    <d v="2015-12-15T00:00:00"/>
    <x v="1"/>
    <n v="85875"/>
    <n v="75000"/>
    <m/>
    <m/>
    <m/>
    <n v="10500"/>
    <m/>
    <n v="375"/>
    <n v="0"/>
    <m/>
    <n v="0"/>
    <m/>
  </r>
  <r>
    <d v="2015-12-31T00:00:00"/>
    <x v="12"/>
    <n v="21898"/>
    <n v="19125"/>
    <m/>
    <m/>
    <m/>
    <n v="2678"/>
    <m/>
    <n v="95"/>
    <n v="382.5"/>
    <n v="842"/>
    <n v="-459.5"/>
    <m/>
  </r>
  <r>
    <d v="2015-12-31T00:00:00"/>
    <x v="5"/>
    <n v="96352"/>
    <n v="84150"/>
    <m/>
    <m/>
    <m/>
    <n v="11781"/>
    <n v="84150"/>
    <n v="421"/>
    <n v="1683"/>
    <n v="1683"/>
    <n v="0"/>
    <m/>
  </r>
  <r>
    <d v="2015-12-31T00:00:00"/>
    <x v="5"/>
    <n v="43023"/>
    <n v="37574"/>
    <m/>
    <m/>
    <m/>
    <n v="5260"/>
    <n v="37574"/>
    <n v="189"/>
    <n v="751.48"/>
    <n v="751"/>
    <n v="0.48000000000001819"/>
    <m/>
  </r>
  <r>
    <d v="2015-12-31T00:00:00"/>
    <x v="5"/>
    <n v="128813"/>
    <n v="112500"/>
    <m/>
    <m/>
    <m/>
    <n v="15750"/>
    <m/>
    <n v="563"/>
    <n v="2250"/>
    <n v="2250"/>
    <n v="0"/>
    <m/>
  </r>
  <r>
    <d v="2015-12-31T00:00:00"/>
    <x v="5"/>
    <n v="629212"/>
    <n v="549530"/>
    <m/>
    <m/>
    <m/>
    <n v="76934"/>
    <m/>
    <n v="2748"/>
    <n v="10990.6"/>
    <n v="10991"/>
    <n v="-0.3999999999996362"/>
    <m/>
  </r>
  <r>
    <d v="2015-12-31T00:00:00"/>
    <x v="5"/>
    <n v="197842"/>
    <n v="172788"/>
    <m/>
    <m/>
    <m/>
    <n v="24190"/>
    <m/>
    <n v="864"/>
    <n v="3455.76"/>
    <n v="3456"/>
    <n v="-0.23999999999978172"/>
    <m/>
  </r>
  <r>
    <d v="2015-12-31T00:00:00"/>
    <x v="5"/>
    <n v="22111"/>
    <n v="21640"/>
    <m/>
    <m/>
    <m/>
    <n v="454"/>
    <n v="21640"/>
    <n v="17"/>
    <n v="432.8"/>
    <n v="433"/>
    <n v="-0.19999999999998863"/>
    <m/>
  </r>
  <r>
    <d v="2015-12-31T00:00:00"/>
    <x v="1"/>
    <n v="51525"/>
    <n v="45000"/>
    <m/>
    <m/>
    <m/>
    <n v="6300"/>
    <m/>
    <n v="225"/>
    <n v="0"/>
    <m/>
    <n v="0"/>
    <m/>
  </r>
  <r>
    <d v="2015-12-31T00:00:00"/>
    <x v="1"/>
    <n v="84730"/>
    <n v="74000"/>
    <m/>
    <m/>
    <m/>
    <n v="10360"/>
    <m/>
    <n v="370"/>
    <n v="0"/>
    <m/>
    <n v="0"/>
    <m/>
  </r>
  <r>
    <d v="2015-12-31T00:00:00"/>
    <x v="12"/>
    <n v="18892"/>
    <n v="16500"/>
    <m/>
    <m/>
    <m/>
    <n v="2310"/>
    <m/>
    <n v="82"/>
    <n v="330"/>
    <n v="330"/>
    <n v="0"/>
    <m/>
  </r>
  <r>
    <d v="2015-12-14T00:00:00"/>
    <x v="15"/>
    <n v="0"/>
    <n v="0"/>
    <m/>
    <m/>
    <m/>
    <m/>
    <m/>
    <m/>
    <n v="0"/>
    <n v="4520"/>
    <n v="-4520"/>
    <m/>
  </r>
  <r>
    <d v="2016-01-04T00:00:00"/>
    <x v="15"/>
    <n v="258770"/>
    <n v="226000"/>
    <m/>
    <m/>
    <m/>
    <n v="31640"/>
    <n v="226000"/>
    <n v="1130"/>
    <n v="4520"/>
    <m/>
    <n v="4520"/>
    <m/>
  </r>
  <r>
    <d v="2016-01-15T00:00:00"/>
    <x v="12"/>
    <n v="27394"/>
    <n v="23925"/>
    <m/>
    <m/>
    <m/>
    <n v="3350"/>
    <m/>
    <n v="119"/>
    <n v="478.5"/>
    <m/>
    <n v="478.5"/>
    <m/>
  </r>
  <r>
    <d v="2016-01-30T00:00:00"/>
    <x v="16"/>
    <n v="44910"/>
    <n v="44783"/>
    <m/>
    <m/>
    <m/>
    <n v="123"/>
    <n v="44783"/>
    <n v="4"/>
    <n v="895.66"/>
    <n v="816"/>
    <n v="79.659999999999968"/>
    <m/>
  </r>
  <r>
    <d v="2016-01-30T00:00:00"/>
    <x v="16"/>
    <n v="68614"/>
    <n v="59925"/>
    <m/>
    <m/>
    <m/>
    <n v="8390"/>
    <m/>
    <n v="299"/>
    <n v="1198.5"/>
    <n v="1199"/>
    <n v="-0.5"/>
    <m/>
  </r>
  <r>
    <d v="2016-01-30T00:00:00"/>
    <x v="5"/>
    <n v="46735"/>
    <n v="40817"/>
    <m/>
    <m/>
    <m/>
    <n v="5714"/>
    <m/>
    <n v="204"/>
    <n v="816.34"/>
    <n v="816"/>
    <n v="0.34000000000003183"/>
    <m/>
  </r>
  <r>
    <d v="2016-01-30T00:00:00"/>
    <x v="5"/>
    <n v="157279"/>
    <n v="153931"/>
    <m/>
    <m/>
    <m/>
    <n v="3233"/>
    <n v="153931"/>
    <n v="115"/>
    <n v="3078.62"/>
    <n v="3079"/>
    <n v="-0.38000000000010914"/>
    <m/>
  </r>
  <r>
    <d v="2016-01-30T00:00:00"/>
    <x v="5"/>
    <n v="290655"/>
    <n v="253848"/>
    <m/>
    <m/>
    <m/>
    <n v="35539"/>
    <m/>
    <n v="1268"/>
    <n v="5076.96"/>
    <n v="5059"/>
    <n v="17.960000000000036"/>
    <m/>
  </r>
  <r>
    <d v="2016-01-31T00:00:00"/>
    <x v="5"/>
    <n v="564059"/>
    <n v="492628"/>
    <m/>
    <m/>
    <m/>
    <n v="68968"/>
    <m/>
    <n v="2463"/>
    <n v="9852.56"/>
    <n v="9853"/>
    <n v="-0.44000000000050932"/>
    <m/>
  </r>
  <r>
    <d v="2016-02-15T00:00:00"/>
    <x v="1"/>
    <n v="100829"/>
    <n v="88060"/>
    <m/>
    <m/>
    <m/>
    <n v="12328"/>
    <m/>
    <n v="441"/>
    <n v="0"/>
    <m/>
    <n v="0"/>
    <m/>
  </r>
  <r>
    <d v="2016-02-29T00:00:00"/>
    <x v="1"/>
    <n v="98882"/>
    <n v="86360"/>
    <m/>
    <m/>
    <m/>
    <n v="12090"/>
    <m/>
    <n v="432"/>
    <n v="0"/>
    <m/>
    <n v="0"/>
    <m/>
  </r>
  <r>
    <d v="2016-02-29T00:00:00"/>
    <x v="16"/>
    <n v="172343"/>
    <n v="150518"/>
    <m/>
    <m/>
    <m/>
    <n v="21073"/>
    <m/>
    <n v="752"/>
    <n v="3010.36"/>
    <n v="3010"/>
    <n v="0.36000000000012733"/>
    <m/>
  </r>
  <r>
    <d v="2016-02-29T00:00:00"/>
    <x v="16"/>
    <n v="20633"/>
    <n v="18020"/>
    <m/>
    <m/>
    <m/>
    <n v="2523"/>
    <m/>
    <n v="90"/>
    <n v="360.40000000000003"/>
    <n v="360"/>
    <n v="0.40000000000003411"/>
    <m/>
  </r>
  <r>
    <d v="2016-02-29T00:00:00"/>
    <x v="16"/>
    <n v="237814"/>
    <n v="207698"/>
    <m/>
    <m/>
    <m/>
    <n v="29078"/>
    <m/>
    <n v="1038"/>
    <n v="4153.96"/>
    <n v="4154"/>
    <n v="-3.999999999996362E-2"/>
    <m/>
  </r>
  <r>
    <d v="2016-02-29T00:00:00"/>
    <x v="16"/>
    <n v="837822"/>
    <n v="731723"/>
    <m/>
    <m/>
    <m/>
    <n v="102441"/>
    <m/>
    <n v="3658"/>
    <n v="14634.460000000001"/>
    <n v="14634"/>
    <n v="0.46000000000094587"/>
    <m/>
  </r>
  <r>
    <d v="2016-02-29T00:00:00"/>
    <x v="16"/>
    <n v="109458"/>
    <n v="109148"/>
    <m/>
    <m/>
    <m/>
    <n v="300"/>
    <n v="109148"/>
    <n v="10"/>
    <n v="2182.96"/>
    <n v="2183"/>
    <n v="-3.999999999996362E-2"/>
    <m/>
  </r>
  <r>
    <d v="2016-03-10T00:00:00"/>
    <x v="17"/>
    <n v="55250"/>
    <n v="55250"/>
    <m/>
    <m/>
    <m/>
    <m/>
    <n v="55250"/>
    <m/>
    <n v="0"/>
    <n v="0"/>
    <n v="0"/>
    <m/>
  </r>
  <r>
    <d v="2016-03-15T00:00:00"/>
    <x v="1"/>
    <n v="106278"/>
    <n v="92820"/>
    <m/>
    <m/>
    <m/>
    <n v="12995"/>
    <m/>
    <n v="463"/>
    <n v="0"/>
    <n v="0"/>
    <n v="0"/>
    <m/>
  </r>
  <r>
    <d v="2016-03-15T00:00:00"/>
    <x v="1"/>
    <n v="10511"/>
    <n v="9180"/>
    <m/>
    <m/>
    <m/>
    <n v="1285"/>
    <m/>
    <n v="46"/>
    <n v="0"/>
    <n v="0"/>
    <n v="0"/>
    <m/>
  </r>
  <r>
    <d v="2016-03-15T00:00:00"/>
    <x v="1"/>
    <n v="107059"/>
    <n v="93500"/>
    <m/>
    <m/>
    <m/>
    <n v="13090"/>
    <m/>
    <n v="469"/>
    <n v="0"/>
    <n v="0"/>
    <n v="0"/>
    <m/>
  </r>
  <r>
    <d v="2016-03-15T00:00:00"/>
    <x v="11"/>
    <n v="122630"/>
    <n v="107100"/>
    <m/>
    <m/>
    <m/>
    <n v="14994"/>
    <m/>
    <n v="536"/>
    <n v="2142"/>
    <n v="3570"/>
    <n v="-1428"/>
    <m/>
  </r>
  <r>
    <d v="2016-03-31T00:00:00"/>
    <x v="1"/>
    <n v="124576"/>
    <n v="108800"/>
    <m/>
    <m/>
    <m/>
    <n v="15232"/>
    <m/>
    <n v="544"/>
    <n v="0"/>
    <n v="0"/>
    <n v="0"/>
    <m/>
  </r>
  <r>
    <d v="2016-03-31T00:00:00"/>
    <x v="1"/>
    <n v="155722"/>
    <n v="136000"/>
    <m/>
    <m/>
    <m/>
    <n v="19040"/>
    <m/>
    <n v="682"/>
    <n v="0"/>
    <n v="0"/>
    <n v="0"/>
    <m/>
  </r>
  <r>
    <d v="2016-03-31T00:00:00"/>
    <x v="18"/>
    <n v="206902"/>
    <n v="180700"/>
    <m/>
    <m/>
    <m/>
    <n v="25298"/>
    <m/>
    <n v="904"/>
    <n v="3614"/>
    <n v="3900"/>
    <n v="-286"/>
    <m/>
  </r>
  <r>
    <d v="2016-03-31T00:00:00"/>
    <x v="16"/>
    <n v="27051"/>
    <n v="23625"/>
    <m/>
    <m/>
    <m/>
    <n v="3308"/>
    <m/>
    <n v="118"/>
    <n v="472.5"/>
    <n v="473"/>
    <n v="-0.5"/>
    <m/>
  </r>
  <r>
    <d v="2016-03-31T00:00:00"/>
    <x v="16"/>
    <n v="172168"/>
    <n v="150365"/>
    <m/>
    <m/>
    <m/>
    <n v="21051"/>
    <m/>
    <n v="752"/>
    <n v="3007.3"/>
    <n v="3007"/>
    <n v="0.3000000000001819"/>
    <m/>
  </r>
  <r>
    <d v="2016-03-31T00:00:00"/>
    <x v="16"/>
    <n v="30949"/>
    <n v="27030"/>
    <m/>
    <m/>
    <m/>
    <n v="3784"/>
    <m/>
    <n v="135"/>
    <n v="540.6"/>
    <n v="541"/>
    <n v="-0.39999999999997726"/>
    <m/>
  </r>
  <r>
    <d v="2016-03-31T00:00:00"/>
    <x v="16"/>
    <n v="84819"/>
    <n v="74078"/>
    <m/>
    <m/>
    <m/>
    <n v="10371"/>
    <m/>
    <n v="370"/>
    <n v="1481.56"/>
    <n v="1482"/>
    <n v="-0.44000000000005457"/>
    <m/>
  </r>
  <r>
    <d v="2016-03-31T00:00:00"/>
    <x v="16"/>
    <n v="246135"/>
    <n v="214965"/>
    <m/>
    <m/>
    <m/>
    <n v="30095"/>
    <m/>
    <n v="1075"/>
    <n v="4299.3"/>
    <n v="4299"/>
    <n v="0.3000000000001819"/>
    <m/>
  </r>
  <r>
    <d v="2016-03-31T00:00:00"/>
    <x v="16"/>
    <n v="752128"/>
    <n v="656880"/>
    <m/>
    <m/>
    <m/>
    <n v="91963"/>
    <m/>
    <n v="3285"/>
    <n v="13137.6"/>
    <n v="13138"/>
    <n v="-0.3999999999996362"/>
    <m/>
  </r>
  <r>
    <d v="2016-03-31T00:00:00"/>
    <x v="10"/>
    <n v="141064"/>
    <n v="123200"/>
    <m/>
    <m/>
    <m/>
    <n v="17248"/>
    <m/>
    <n v="616"/>
    <n v="2464"/>
    <n v="0"/>
    <n v="2464"/>
    <m/>
  </r>
  <r>
    <d v="2016-03-31T00:00:00"/>
    <x v="11"/>
    <n v="323119"/>
    <n v="282200"/>
    <m/>
    <m/>
    <m/>
    <n v="39508"/>
    <m/>
    <n v="1411"/>
    <n v="5644"/>
    <n v="5712"/>
    <n v="-68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E24" firstHeaderRow="1" firstDataRow="2" firstDataCol="1"/>
  <pivotFields count="14">
    <pivotField numFmtId="170" showAll="0"/>
    <pivotField axis="axisRow" showAll="0">
      <items count="20">
        <item x="6"/>
        <item x="3"/>
        <item x="2"/>
        <item x="9"/>
        <item x="8"/>
        <item x="14"/>
        <item x="16"/>
        <item x="5"/>
        <item x="7"/>
        <item x="13"/>
        <item x="4"/>
        <item x="15"/>
        <item x="17"/>
        <item x="0"/>
        <item x="18"/>
        <item x="1"/>
        <item x="12"/>
        <item x="10"/>
        <item x="11"/>
        <item t="default"/>
      </items>
    </pivotField>
    <pivotField numFmtId="165" showAll="0"/>
    <pivotField dataField="1" numFmtId="165" showAll="0" defaultSubtotal="0"/>
    <pivotField showAll="0"/>
    <pivotField showAll="0"/>
    <pivotField showAll="0"/>
    <pivotField showAll="0"/>
    <pivotField showAll="0"/>
    <pivotField showAll="0"/>
    <pivotField dataField="1" numFmtId="165" showAll="0"/>
    <pivotField dataField="1" showAll="0"/>
    <pivotField dataField="1" numFmtId="165" showAll="0"/>
    <pivotField showAll="0"/>
  </pivotFields>
  <rowFields count="1">
    <field x="1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 of Advertisement Service" fld="3" baseField="0" baseItem="0"/>
    <dataField name="Sum of tds to be deducted" fld="10" baseField="0" baseItem="0"/>
    <dataField name="Sum of tds deducted" fld="11" baseField="0" baseItem="0"/>
    <dataField name="Sum of difference" fld="12" baseField="0" baseItem="0"/>
  </dataFields>
  <formats count="28">
    <format dxfId="27">
      <pivotArea field="1" type="button" dataOnly="0" labelOnly="1" outline="0" axis="axisRow" fieldPosition="0"/>
    </format>
    <format dxfId="26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25">
      <pivotArea field="1" type="button" dataOnly="0" labelOnly="1" outline="0" axis="axisRow" fieldPosition="0"/>
    </format>
    <format dxfId="24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23">
      <pivotArea field="1" type="button" dataOnly="0" labelOnly="1" outline="0" axis="axisRow" fieldPosition="0"/>
    </format>
    <format dxfId="22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21">
      <pivotArea collapsedLevelsAreSubtotals="1" fieldPosition="0">
        <references count="1">
          <reference field="1" count="1">
            <x v="0"/>
          </reference>
        </references>
      </pivotArea>
    </format>
    <format dxfId="20">
      <pivotArea dataOnly="0" labelOnly="1" fieldPosition="0">
        <references count="1">
          <reference field="1" count="1">
            <x v="0"/>
          </reference>
        </references>
      </pivotArea>
    </format>
    <format dxfId="19">
      <pivotArea collapsedLevelsAreSubtotals="1" fieldPosition="0">
        <references count="1">
          <reference field="1" count="2">
            <x v="1"/>
            <x v="2"/>
          </reference>
        </references>
      </pivotArea>
    </format>
    <format dxfId="18">
      <pivotArea dataOnly="0" labelOnly="1" fieldPosition="0">
        <references count="1">
          <reference field="1" count="2">
            <x v="1"/>
            <x v="2"/>
          </reference>
        </references>
      </pivotArea>
    </format>
    <format dxfId="17">
      <pivotArea collapsedLevelsAreSubtotals="1" fieldPosition="0">
        <references count="1">
          <reference field="1" count="1">
            <x v="3"/>
          </reference>
        </references>
      </pivotArea>
    </format>
    <format dxfId="16">
      <pivotArea dataOnly="0" labelOnly="1" fieldPosition="0">
        <references count="1">
          <reference field="1" count="1">
            <x v="3"/>
          </reference>
        </references>
      </pivotArea>
    </format>
    <format dxfId="15">
      <pivotArea collapsedLevelsAreSubtotals="1" fieldPosition="0">
        <references count="1">
          <reference field="1" count="1">
            <x v="5"/>
          </reference>
        </references>
      </pivotArea>
    </format>
    <format dxfId="14">
      <pivotArea dataOnly="0" labelOnly="1" fieldPosition="0">
        <references count="1">
          <reference field="1" count="1">
            <x v="5"/>
          </reference>
        </references>
      </pivotArea>
    </format>
    <format dxfId="13">
      <pivotArea collapsedLevelsAreSubtotals="1" fieldPosition="0">
        <references count="1">
          <reference field="1" count="1">
            <x v="9"/>
          </reference>
        </references>
      </pivotArea>
    </format>
    <format dxfId="12">
      <pivotArea dataOnly="0" labelOnly="1" fieldPosition="0">
        <references count="1">
          <reference field="1" count="1">
            <x v="9"/>
          </reference>
        </references>
      </pivotArea>
    </format>
    <format dxfId="11">
      <pivotArea collapsedLevelsAreSubtotals="1" fieldPosition="0">
        <references count="1">
          <reference field="1" count="1">
            <x v="12"/>
          </reference>
        </references>
      </pivotArea>
    </format>
    <format dxfId="10">
      <pivotArea dataOnly="0" labelOnly="1" fieldPosition="0">
        <references count="1">
          <reference field="1" count="1">
            <x v="12"/>
          </reference>
        </references>
      </pivotArea>
    </format>
    <format dxfId="9">
      <pivotArea collapsedLevelsAreSubtotals="1" fieldPosition="0">
        <references count="1">
          <reference field="1" count="1">
            <x v="10"/>
          </reference>
        </references>
      </pivotArea>
    </format>
    <format dxfId="8">
      <pivotArea dataOnly="0" labelOnly="1" fieldPosition="0">
        <references count="1">
          <reference field="1" count="1">
            <x v="10"/>
          </reference>
        </references>
      </pivotArea>
    </format>
    <format dxfId="7">
      <pivotArea collapsedLevelsAreSubtotals="1" fieldPosition="0">
        <references count="1">
          <reference field="1" count="1">
            <x v="13"/>
          </reference>
        </references>
      </pivotArea>
    </format>
    <format dxfId="6">
      <pivotArea dataOnly="0" labelOnly="1" fieldPosition="0">
        <references count="1">
          <reference field="1" count="1">
            <x v="13"/>
          </reference>
        </references>
      </pivotArea>
    </format>
    <format dxfId="5">
      <pivotArea collapsedLevelsAreSubtotals="1" fieldPosition="0">
        <references count="1">
          <reference field="1" count="2">
            <x v="15"/>
            <x v="16"/>
          </reference>
        </references>
      </pivotArea>
    </format>
    <format dxfId="4">
      <pivotArea dataOnly="0" labelOnly="1" fieldPosition="0">
        <references count="1">
          <reference field="1" count="2">
            <x v="15"/>
            <x v="16"/>
          </reference>
        </references>
      </pivotArea>
    </format>
    <format dxfId="3">
      <pivotArea collapsedLevelsAreSubtotals="1" fieldPosition="0">
        <references count="1">
          <reference field="1" count="1">
            <x v="4"/>
          </reference>
        </references>
      </pivotArea>
    </format>
    <format dxfId="2">
      <pivotArea dataOnly="0" labelOnly="1" fieldPosition="0">
        <references count="1">
          <reference field="1" count="1">
            <x v="4"/>
          </reference>
        </references>
      </pivotArea>
    </format>
    <format dxfId="1">
      <pivotArea collapsedLevelsAreSubtotals="1" fieldPosition="0">
        <references count="1">
          <reference field="1" count="1">
            <x v="4"/>
          </reference>
        </references>
      </pivotArea>
    </format>
    <format dxfId="0">
      <pivotArea dataOnly="0" labelOnly="1" fieldPosition="0">
        <references count="1">
          <reference field="1" count="1"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64"/>
  <sheetViews>
    <sheetView workbookViewId="0">
      <selection activeCell="I15" sqref="I15"/>
    </sheetView>
  </sheetViews>
  <sheetFormatPr defaultRowHeight="12.75"/>
  <cols>
    <col min="1" max="1" width="9.140625" style="273"/>
    <col min="2" max="2" width="19.42578125" style="273" customWidth="1"/>
    <col min="3" max="3" width="9.28515625" style="273" customWidth="1"/>
    <col min="4" max="4" width="11.42578125" style="273" customWidth="1"/>
    <col min="5" max="5" width="11" style="273" customWidth="1"/>
    <col min="6" max="6" width="15.28515625" style="273" bestFit="1" customWidth="1"/>
    <col min="7" max="7" width="11.28515625" style="273" bestFit="1" customWidth="1"/>
    <col min="8" max="9" width="11.85546875" style="273" bestFit="1" customWidth="1"/>
    <col min="10" max="257" width="9.140625" style="273"/>
    <col min="258" max="258" width="19.42578125" style="273" customWidth="1"/>
    <col min="259" max="259" width="9.28515625" style="273" customWidth="1"/>
    <col min="260" max="260" width="11.42578125" style="273" customWidth="1"/>
    <col min="261" max="261" width="11" style="273" customWidth="1"/>
    <col min="262" max="262" width="15.28515625" style="273" bestFit="1" customWidth="1"/>
    <col min="263" max="263" width="9.140625" style="273"/>
    <col min="264" max="264" width="11.28515625" style="273" bestFit="1" customWidth="1"/>
    <col min="265" max="265" width="9.42578125" style="273" customWidth="1"/>
    <col min="266" max="513" width="9.140625" style="273"/>
    <col min="514" max="514" width="19.42578125" style="273" customWidth="1"/>
    <col min="515" max="515" width="9.28515625" style="273" customWidth="1"/>
    <col min="516" max="516" width="11.42578125" style="273" customWidth="1"/>
    <col min="517" max="517" width="11" style="273" customWidth="1"/>
    <col min="518" max="518" width="15.28515625" style="273" bestFit="1" customWidth="1"/>
    <col min="519" max="519" width="9.140625" style="273"/>
    <col min="520" max="520" width="11.28515625" style="273" bestFit="1" customWidth="1"/>
    <col min="521" max="521" width="9.42578125" style="273" customWidth="1"/>
    <col min="522" max="769" width="9.140625" style="273"/>
    <col min="770" max="770" width="19.42578125" style="273" customWidth="1"/>
    <col min="771" max="771" width="9.28515625" style="273" customWidth="1"/>
    <col min="772" max="772" width="11.42578125" style="273" customWidth="1"/>
    <col min="773" max="773" width="11" style="273" customWidth="1"/>
    <col min="774" max="774" width="15.28515625" style="273" bestFit="1" customWidth="1"/>
    <col min="775" max="775" width="9.140625" style="273"/>
    <col min="776" max="776" width="11.28515625" style="273" bestFit="1" customWidth="1"/>
    <col min="777" max="777" width="9.42578125" style="273" customWidth="1"/>
    <col min="778" max="1025" width="9.140625" style="273"/>
    <col min="1026" max="1026" width="19.42578125" style="273" customWidth="1"/>
    <col min="1027" max="1027" width="9.28515625" style="273" customWidth="1"/>
    <col min="1028" max="1028" width="11.42578125" style="273" customWidth="1"/>
    <col min="1029" max="1029" width="11" style="273" customWidth="1"/>
    <col min="1030" max="1030" width="15.28515625" style="273" bestFit="1" customWidth="1"/>
    <col min="1031" max="1031" width="9.140625" style="273"/>
    <col min="1032" max="1032" width="11.28515625" style="273" bestFit="1" customWidth="1"/>
    <col min="1033" max="1033" width="9.42578125" style="273" customWidth="1"/>
    <col min="1034" max="1281" width="9.140625" style="273"/>
    <col min="1282" max="1282" width="19.42578125" style="273" customWidth="1"/>
    <col min="1283" max="1283" width="9.28515625" style="273" customWidth="1"/>
    <col min="1284" max="1284" width="11.42578125" style="273" customWidth="1"/>
    <col min="1285" max="1285" width="11" style="273" customWidth="1"/>
    <col min="1286" max="1286" width="15.28515625" style="273" bestFit="1" customWidth="1"/>
    <col min="1287" max="1287" width="9.140625" style="273"/>
    <col min="1288" max="1288" width="11.28515625" style="273" bestFit="1" customWidth="1"/>
    <col min="1289" max="1289" width="9.42578125" style="273" customWidth="1"/>
    <col min="1290" max="1537" width="9.140625" style="273"/>
    <col min="1538" max="1538" width="19.42578125" style="273" customWidth="1"/>
    <col min="1539" max="1539" width="9.28515625" style="273" customWidth="1"/>
    <col min="1540" max="1540" width="11.42578125" style="273" customWidth="1"/>
    <col min="1541" max="1541" width="11" style="273" customWidth="1"/>
    <col min="1542" max="1542" width="15.28515625" style="273" bestFit="1" customWidth="1"/>
    <col min="1543" max="1543" width="9.140625" style="273"/>
    <col min="1544" max="1544" width="11.28515625" style="273" bestFit="1" customWidth="1"/>
    <col min="1545" max="1545" width="9.42578125" style="273" customWidth="1"/>
    <col min="1546" max="1793" width="9.140625" style="273"/>
    <col min="1794" max="1794" width="19.42578125" style="273" customWidth="1"/>
    <col min="1795" max="1795" width="9.28515625" style="273" customWidth="1"/>
    <col min="1796" max="1796" width="11.42578125" style="273" customWidth="1"/>
    <col min="1797" max="1797" width="11" style="273" customWidth="1"/>
    <col min="1798" max="1798" width="15.28515625" style="273" bestFit="1" customWidth="1"/>
    <col min="1799" max="1799" width="9.140625" style="273"/>
    <col min="1800" max="1800" width="11.28515625" style="273" bestFit="1" customWidth="1"/>
    <col min="1801" max="1801" width="9.42578125" style="273" customWidth="1"/>
    <col min="1802" max="2049" width="9.140625" style="273"/>
    <col min="2050" max="2050" width="19.42578125" style="273" customWidth="1"/>
    <col min="2051" max="2051" width="9.28515625" style="273" customWidth="1"/>
    <col min="2052" max="2052" width="11.42578125" style="273" customWidth="1"/>
    <col min="2053" max="2053" width="11" style="273" customWidth="1"/>
    <col min="2054" max="2054" width="15.28515625" style="273" bestFit="1" customWidth="1"/>
    <col min="2055" max="2055" width="9.140625" style="273"/>
    <col min="2056" max="2056" width="11.28515625" style="273" bestFit="1" customWidth="1"/>
    <col min="2057" max="2057" width="9.42578125" style="273" customWidth="1"/>
    <col min="2058" max="2305" width="9.140625" style="273"/>
    <col min="2306" max="2306" width="19.42578125" style="273" customWidth="1"/>
    <col min="2307" max="2307" width="9.28515625" style="273" customWidth="1"/>
    <col min="2308" max="2308" width="11.42578125" style="273" customWidth="1"/>
    <col min="2309" max="2309" width="11" style="273" customWidth="1"/>
    <col min="2310" max="2310" width="15.28515625" style="273" bestFit="1" customWidth="1"/>
    <col min="2311" max="2311" width="9.140625" style="273"/>
    <col min="2312" max="2312" width="11.28515625" style="273" bestFit="1" customWidth="1"/>
    <col min="2313" max="2313" width="9.42578125" style="273" customWidth="1"/>
    <col min="2314" max="2561" width="9.140625" style="273"/>
    <col min="2562" max="2562" width="19.42578125" style="273" customWidth="1"/>
    <col min="2563" max="2563" width="9.28515625" style="273" customWidth="1"/>
    <col min="2564" max="2564" width="11.42578125" style="273" customWidth="1"/>
    <col min="2565" max="2565" width="11" style="273" customWidth="1"/>
    <col min="2566" max="2566" width="15.28515625" style="273" bestFit="1" customWidth="1"/>
    <col min="2567" max="2567" width="9.140625" style="273"/>
    <col min="2568" max="2568" width="11.28515625" style="273" bestFit="1" customWidth="1"/>
    <col min="2569" max="2569" width="9.42578125" style="273" customWidth="1"/>
    <col min="2570" max="2817" width="9.140625" style="273"/>
    <col min="2818" max="2818" width="19.42578125" style="273" customWidth="1"/>
    <col min="2819" max="2819" width="9.28515625" style="273" customWidth="1"/>
    <col min="2820" max="2820" width="11.42578125" style="273" customWidth="1"/>
    <col min="2821" max="2821" width="11" style="273" customWidth="1"/>
    <col min="2822" max="2822" width="15.28515625" style="273" bestFit="1" customWidth="1"/>
    <col min="2823" max="2823" width="9.140625" style="273"/>
    <col min="2824" max="2824" width="11.28515625" style="273" bestFit="1" customWidth="1"/>
    <col min="2825" max="2825" width="9.42578125" style="273" customWidth="1"/>
    <col min="2826" max="3073" width="9.140625" style="273"/>
    <col min="3074" max="3074" width="19.42578125" style="273" customWidth="1"/>
    <col min="3075" max="3075" width="9.28515625" style="273" customWidth="1"/>
    <col min="3076" max="3076" width="11.42578125" style="273" customWidth="1"/>
    <col min="3077" max="3077" width="11" style="273" customWidth="1"/>
    <col min="3078" max="3078" width="15.28515625" style="273" bestFit="1" customWidth="1"/>
    <col min="3079" max="3079" width="9.140625" style="273"/>
    <col min="3080" max="3080" width="11.28515625" style="273" bestFit="1" customWidth="1"/>
    <col min="3081" max="3081" width="9.42578125" style="273" customWidth="1"/>
    <col min="3082" max="3329" width="9.140625" style="273"/>
    <col min="3330" max="3330" width="19.42578125" style="273" customWidth="1"/>
    <col min="3331" max="3331" width="9.28515625" style="273" customWidth="1"/>
    <col min="3332" max="3332" width="11.42578125" style="273" customWidth="1"/>
    <col min="3333" max="3333" width="11" style="273" customWidth="1"/>
    <col min="3334" max="3334" width="15.28515625" style="273" bestFit="1" customWidth="1"/>
    <col min="3335" max="3335" width="9.140625" style="273"/>
    <col min="3336" max="3336" width="11.28515625" style="273" bestFit="1" customWidth="1"/>
    <col min="3337" max="3337" width="9.42578125" style="273" customWidth="1"/>
    <col min="3338" max="3585" width="9.140625" style="273"/>
    <col min="3586" max="3586" width="19.42578125" style="273" customWidth="1"/>
    <col min="3587" max="3587" width="9.28515625" style="273" customWidth="1"/>
    <col min="3588" max="3588" width="11.42578125" style="273" customWidth="1"/>
    <col min="3589" max="3589" width="11" style="273" customWidth="1"/>
    <col min="3590" max="3590" width="15.28515625" style="273" bestFit="1" customWidth="1"/>
    <col min="3591" max="3591" width="9.140625" style="273"/>
    <col min="3592" max="3592" width="11.28515625" style="273" bestFit="1" customWidth="1"/>
    <col min="3593" max="3593" width="9.42578125" style="273" customWidth="1"/>
    <col min="3594" max="3841" width="9.140625" style="273"/>
    <col min="3842" max="3842" width="19.42578125" style="273" customWidth="1"/>
    <col min="3843" max="3843" width="9.28515625" style="273" customWidth="1"/>
    <col min="3844" max="3844" width="11.42578125" style="273" customWidth="1"/>
    <col min="3845" max="3845" width="11" style="273" customWidth="1"/>
    <col min="3846" max="3846" width="15.28515625" style="273" bestFit="1" customWidth="1"/>
    <col min="3847" max="3847" width="9.140625" style="273"/>
    <col min="3848" max="3848" width="11.28515625" style="273" bestFit="1" customWidth="1"/>
    <col min="3849" max="3849" width="9.42578125" style="273" customWidth="1"/>
    <col min="3850" max="4097" width="9.140625" style="273"/>
    <col min="4098" max="4098" width="19.42578125" style="273" customWidth="1"/>
    <col min="4099" max="4099" width="9.28515625" style="273" customWidth="1"/>
    <col min="4100" max="4100" width="11.42578125" style="273" customWidth="1"/>
    <col min="4101" max="4101" width="11" style="273" customWidth="1"/>
    <col min="4102" max="4102" width="15.28515625" style="273" bestFit="1" customWidth="1"/>
    <col min="4103" max="4103" width="9.140625" style="273"/>
    <col min="4104" max="4104" width="11.28515625" style="273" bestFit="1" customWidth="1"/>
    <col min="4105" max="4105" width="9.42578125" style="273" customWidth="1"/>
    <col min="4106" max="4353" width="9.140625" style="273"/>
    <col min="4354" max="4354" width="19.42578125" style="273" customWidth="1"/>
    <col min="4355" max="4355" width="9.28515625" style="273" customWidth="1"/>
    <col min="4356" max="4356" width="11.42578125" style="273" customWidth="1"/>
    <col min="4357" max="4357" width="11" style="273" customWidth="1"/>
    <col min="4358" max="4358" width="15.28515625" style="273" bestFit="1" customWidth="1"/>
    <col min="4359" max="4359" width="9.140625" style="273"/>
    <col min="4360" max="4360" width="11.28515625" style="273" bestFit="1" customWidth="1"/>
    <col min="4361" max="4361" width="9.42578125" style="273" customWidth="1"/>
    <col min="4362" max="4609" width="9.140625" style="273"/>
    <col min="4610" max="4610" width="19.42578125" style="273" customWidth="1"/>
    <col min="4611" max="4611" width="9.28515625" style="273" customWidth="1"/>
    <col min="4612" max="4612" width="11.42578125" style="273" customWidth="1"/>
    <col min="4613" max="4613" width="11" style="273" customWidth="1"/>
    <col min="4614" max="4614" width="15.28515625" style="273" bestFit="1" customWidth="1"/>
    <col min="4615" max="4615" width="9.140625" style="273"/>
    <col min="4616" max="4616" width="11.28515625" style="273" bestFit="1" customWidth="1"/>
    <col min="4617" max="4617" width="9.42578125" style="273" customWidth="1"/>
    <col min="4618" max="4865" width="9.140625" style="273"/>
    <col min="4866" max="4866" width="19.42578125" style="273" customWidth="1"/>
    <col min="4867" max="4867" width="9.28515625" style="273" customWidth="1"/>
    <col min="4868" max="4868" width="11.42578125" style="273" customWidth="1"/>
    <col min="4869" max="4869" width="11" style="273" customWidth="1"/>
    <col min="4870" max="4870" width="15.28515625" style="273" bestFit="1" customWidth="1"/>
    <col min="4871" max="4871" width="9.140625" style="273"/>
    <col min="4872" max="4872" width="11.28515625" style="273" bestFit="1" customWidth="1"/>
    <col min="4873" max="4873" width="9.42578125" style="273" customWidth="1"/>
    <col min="4874" max="5121" width="9.140625" style="273"/>
    <col min="5122" max="5122" width="19.42578125" style="273" customWidth="1"/>
    <col min="5123" max="5123" width="9.28515625" style="273" customWidth="1"/>
    <col min="5124" max="5124" width="11.42578125" style="273" customWidth="1"/>
    <col min="5125" max="5125" width="11" style="273" customWidth="1"/>
    <col min="5126" max="5126" width="15.28515625" style="273" bestFit="1" customWidth="1"/>
    <col min="5127" max="5127" width="9.140625" style="273"/>
    <col min="5128" max="5128" width="11.28515625" style="273" bestFit="1" customWidth="1"/>
    <col min="5129" max="5129" width="9.42578125" style="273" customWidth="1"/>
    <col min="5130" max="5377" width="9.140625" style="273"/>
    <col min="5378" max="5378" width="19.42578125" style="273" customWidth="1"/>
    <col min="5379" max="5379" width="9.28515625" style="273" customWidth="1"/>
    <col min="5380" max="5380" width="11.42578125" style="273" customWidth="1"/>
    <col min="5381" max="5381" width="11" style="273" customWidth="1"/>
    <col min="5382" max="5382" width="15.28515625" style="273" bestFit="1" customWidth="1"/>
    <col min="5383" max="5383" width="9.140625" style="273"/>
    <col min="5384" max="5384" width="11.28515625" style="273" bestFit="1" customWidth="1"/>
    <col min="5385" max="5385" width="9.42578125" style="273" customWidth="1"/>
    <col min="5386" max="5633" width="9.140625" style="273"/>
    <col min="5634" max="5634" width="19.42578125" style="273" customWidth="1"/>
    <col min="5635" max="5635" width="9.28515625" style="273" customWidth="1"/>
    <col min="5636" max="5636" width="11.42578125" style="273" customWidth="1"/>
    <col min="5637" max="5637" width="11" style="273" customWidth="1"/>
    <col min="5638" max="5638" width="15.28515625" style="273" bestFit="1" customWidth="1"/>
    <col min="5639" max="5639" width="9.140625" style="273"/>
    <col min="5640" max="5640" width="11.28515625" style="273" bestFit="1" customWidth="1"/>
    <col min="5641" max="5641" width="9.42578125" style="273" customWidth="1"/>
    <col min="5642" max="5889" width="9.140625" style="273"/>
    <col min="5890" max="5890" width="19.42578125" style="273" customWidth="1"/>
    <col min="5891" max="5891" width="9.28515625" style="273" customWidth="1"/>
    <col min="5892" max="5892" width="11.42578125" style="273" customWidth="1"/>
    <col min="5893" max="5893" width="11" style="273" customWidth="1"/>
    <col min="5894" max="5894" width="15.28515625" style="273" bestFit="1" customWidth="1"/>
    <col min="5895" max="5895" width="9.140625" style="273"/>
    <col min="5896" max="5896" width="11.28515625" style="273" bestFit="1" customWidth="1"/>
    <col min="5897" max="5897" width="9.42578125" style="273" customWidth="1"/>
    <col min="5898" max="6145" width="9.140625" style="273"/>
    <col min="6146" max="6146" width="19.42578125" style="273" customWidth="1"/>
    <col min="6147" max="6147" width="9.28515625" style="273" customWidth="1"/>
    <col min="6148" max="6148" width="11.42578125" style="273" customWidth="1"/>
    <col min="6149" max="6149" width="11" style="273" customWidth="1"/>
    <col min="6150" max="6150" width="15.28515625" style="273" bestFit="1" customWidth="1"/>
    <col min="6151" max="6151" width="9.140625" style="273"/>
    <col min="6152" max="6152" width="11.28515625" style="273" bestFit="1" customWidth="1"/>
    <col min="6153" max="6153" width="9.42578125" style="273" customWidth="1"/>
    <col min="6154" max="6401" width="9.140625" style="273"/>
    <col min="6402" max="6402" width="19.42578125" style="273" customWidth="1"/>
    <col min="6403" max="6403" width="9.28515625" style="273" customWidth="1"/>
    <col min="6404" max="6404" width="11.42578125" style="273" customWidth="1"/>
    <col min="6405" max="6405" width="11" style="273" customWidth="1"/>
    <col min="6406" max="6406" width="15.28515625" style="273" bestFit="1" customWidth="1"/>
    <col min="6407" max="6407" width="9.140625" style="273"/>
    <col min="6408" max="6408" width="11.28515625" style="273" bestFit="1" customWidth="1"/>
    <col min="6409" max="6409" width="9.42578125" style="273" customWidth="1"/>
    <col min="6410" max="6657" width="9.140625" style="273"/>
    <col min="6658" max="6658" width="19.42578125" style="273" customWidth="1"/>
    <col min="6659" max="6659" width="9.28515625" style="273" customWidth="1"/>
    <col min="6660" max="6660" width="11.42578125" style="273" customWidth="1"/>
    <col min="6661" max="6661" width="11" style="273" customWidth="1"/>
    <col min="6662" max="6662" width="15.28515625" style="273" bestFit="1" customWidth="1"/>
    <col min="6663" max="6663" width="9.140625" style="273"/>
    <col min="6664" max="6664" width="11.28515625" style="273" bestFit="1" customWidth="1"/>
    <col min="6665" max="6665" width="9.42578125" style="273" customWidth="1"/>
    <col min="6666" max="6913" width="9.140625" style="273"/>
    <col min="6914" max="6914" width="19.42578125" style="273" customWidth="1"/>
    <col min="6915" max="6915" width="9.28515625" style="273" customWidth="1"/>
    <col min="6916" max="6916" width="11.42578125" style="273" customWidth="1"/>
    <col min="6917" max="6917" width="11" style="273" customWidth="1"/>
    <col min="6918" max="6918" width="15.28515625" style="273" bestFit="1" customWidth="1"/>
    <col min="6919" max="6919" width="9.140625" style="273"/>
    <col min="6920" max="6920" width="11.28515625" style="273" bestFit="1" customWidth="1"/>
    <col min="6921" max="6921" width="9.42578125" style="273" customWidth="1"/>
    <col min="6922" max="7169" width="9.140625" style="273"/>
    <col min="7170" max="7170" width="19.42578125" style="273" customWidth="1"/>
    <col min="7171" max="7171" width="9.28515625" style="273" customWidth="1"/>
    <col min="7172" max="7172" width="11.42578125" style="273" customWidth="1"/>
    <col min="7173" max="7173" width="11" style="273" customWidth="1"/>
    <col min="7174" max="7174" width="15.28515625" style="273" bestFit="1" customWidth="1"/>
    <col min="7175" max="7175" width="9.140625" style="273"/>
    <col min="7176" max="7176" width="11.28515625" style="273" bestFit="1" customWidth="1"/>
    <col min="7177" max="7177" width="9.42578125" style="273" customWidth="1"/>
    <col min="7178" max="7425" width="9.140625" style="273"/>
    <col min="7426" max="7426" width="19.42578125" style="273" customWidth="1"/>
    <col min="7427" max="7427" width="9.28515625" style="273" customWidth="1"/>
    <col min="7428" max="7428" width="11.42578125" style="273" customWidth="1"/>
    <col min="7429" max="7429" width="11" style="273" customWidth="1"/>
    <col min="7430" max="7430" width="15.28515625" style="273" bestFit="1" customWidth="1"/>
    <col min="7431" max="7431" width="9.140625" style="273"/>
    <col min="7432" max="7432" width="11.28515625" style="273" bestFit="1" customWidth="1"/>
    <col min="7433" max="7433" width="9.42578125" style="273" customWidth="1"/>
    <col min="7434" max="7681" width="9.140625" style="273"/>
    <col min="7682" max="7682" width="19.42578125" style="273" customWidth="1"/>
    <col min="7683" max="7683" width="9.28515625" style="273" customWidth="1"/>
    <col min="7684" max="7684" width="11.42578125" style="273" customWidth="1"/>
    <col min="7685" max="7685" width="11" style="273" customWidth="1"/>
    <col min="7686" max="7686" width="15.28515625" style="273" bestFit="1" customWidth="1"/>
    <col min="7687" max="7687" width="9.140625" style="273"/>
    <col min="7688" max="7688" width="11.28515625" style="273" bestFit="1" customWidth="1"/>
    <col min="7689" max="7689" width="9.42578125" style="273" customWidth="1"/>
    <col min="7690" max="7937" width="9.140625" style="273"/>
    <col min="7938" max="7938" width="19.42578125" style="273" customWidth="1"/>
    <col min="7939" max="7939" width="9.28515625" style="273" customWidth="1"/>
    <col min="7940" max="7940" width="11.42578125" style="273" customWidth="1"/>
    <col min="7941" max="7941" width="11" style="273" customWidth="1"/>
    <col min="7942" max="7942" width="15.28515625" style="273" bestFit="1" customWidth="1"/>
    <col min="7943" max="7943" width="9.140625" style="273"/>
    <col min="7944" max="7944" width="11.28515625" style="273" bestFit="1" customWidth="1"/>
    <col min="7945" max="7945" width="9.42578125" style="273" customWidth="1"/>
    <col min="7946" max="8193" width="9.140625" style="273"/>
    <col min="8194" max="8194" width="19.42578125" style="273" customWidth="1"/>
    <col min="8195" max="8195" width="9.28515625" style="273" customWidth="1"/>
    <col min="8196" max="8196" width="11.42578125" style="273" customWidth="1"/>
    <col min="8197" max="8197" width="11" style="273" customWidth="1"/>
    <col min="8198" max="8198" width="15.28515625" style="273" bestFit="1" customWidth="1"/>
    <col min="8199" max="8199" width="9.140625" style="273"/>
    <col min="8200" max="8200" width="11.28515625" style="273" bestFit="1" customWidth="1"/>
    <col min="8201" max="8201" width="9.42578125" style="273" customWidth="1"/>
    <col min="8202" max="8449" width="9.140625" style="273"/>
    <col min="8450" max="8450" width="19.42578125" style="273" customWidth="1"/>
    <col min="8451" max="8451" width="9.28515625" style="273" customWidth="1"/>
    <col min="8452" max="8452" width="11.42578125" style="273" customWidth="1"/>
    <col min="8453" max="8453" width="11" style="273" customWidth="1"/>
    <col min="8454" max="8454" width="15.28515625" style="273" bestFit="1" customWidth="1"/>
    <col min="8455" max="8455" width="9.140625" style="273"/>
    <col min="8456" max="8456" width="11.28515625" style="273" bestFit="1" customWidth="1"/>
    <col min="8457" max="8457" width="9.42578125" style="273" customWidth="1"/>
    <col min="8458" max="8705" width="9.140625" style="273"/>
    <col min="8706" max="8706" width="19.42578125" style="273" customWidth="1"/>
    <col min="8707" max="8707" width="9.28515625" style="273" customWidth="1"/>
    <col min="8708" max="8708" width="11.42578125" style="273" customWidth="1"/>
    <col min="8709" max="8709" width="11" style="273" customWidth="1"/>
    <col min="8710" max="8710" width="15.28515625" style="273" bestFit="1" customWidth="1"/>
    <col min="8711" max="8711" width="9.140625" style="273"/>
    <col min="8712" max="8712" width="11.28515625" style="273" bestFit="1" customWidth="1"/>
    <col min="8713" max="8713" width="9.42578125" style="273" customWidth="1"/>
    <col min="8714" max="8961" width="9.140625" style="273"/>
    <col min="8962" max="8962" width="19.42578125" style="273" customWidth="1"/>
    <col min="8963" max="8963" width="9.28515625" style="273" customWidth="1"/>
    <col min="8964" max="8964" width="11.42578125" style="273" customWidth="1"/>
    <col min="8965" max="8965" width="11" style="273" customWidth="1"/>
    <col min="8966" max="8966" width="15.28515625" style="273" bestFit="1" customWidth="1"/>
    <col min="8967" max="8967" width="9.140625" style="273"/>
    <col min="8968" max="8968" width="11.28515625" style="273" bestFit="1" customWidth="1"/>
    <col min="8969" max="8969" width="9.42578125" style="273" customWidth="1"/>
    <col min="8970" max="9217" width="9.140625" style="273"/>
    <col min="9218" max="9218" width="19.42578125" style="273" customWidth="1"/>
    <col min="9219" max="9219" width="9.28515625" style="273" customWidth="1"/>
    <col min="9220" max="9220" width="11.42578125" style="273" customWidth="1"/>
    <col min="9221" max="9221" width="11" style="273" customWidth="1"/>
    <col min="9222" max="9222" width="15.28515625" style="273" bestFit="1" customWidth="1"/>
    <col min="9223" max="9223" width="9.140625" style="273"/>
    <col min="9224" max="9224" width="11.28515625" style="273" bestFit="1" customWidth="1"/>
    <col min="9225" max="9225" width="9.42578125" style="273" customWidth="1"/>
    <col min="9226" max="9473" width="9.140625" style="273"/>
    <col min="9474" max="9474" width="19.42578125" style="273" customWidth="1"/>
    <col min="9475" max="9475" width="9.28515625" style="273" customWidth="1"/>
    <col min="9476" max="9476" width="11.42578125" style="273" customWidth="1"/>
    <col min="9477" max="9477" width="11" style="273" customWidth="1"/>
    <col min="9478" max="9478" width="15.28515625" style="273" bestFit="1" customWidth="1"/>
    <col min="9479" max="9479" width="9.140625" style="273"/>
    <col min="9480" max="9480" width="11.28515625" style="273" bestFit="1" customWidth="1"/>
    <col min="9481" max="9481" width="9.42578125" style="273" customWidth="1"/>
    <col min="9482" max="9729" width="9.140625" style="273"/>
    <col min="9730" max="9730" width="19.42578125" style="273" customWidth="1"/>
    <col min="9731" max="9731" width="9.28515625" style="273" customWidth="1"/>
    <col min="9732" max="9732" width="11.42578125" style="273" customWidth="1"/>
    <col min="9733" max="9733" width="11" style="273" customWidth="1"/>
    <col min="9734" max="9734" width="15.28515625" style="273" bestFit="1" customWidth="1"/>
    <col min="9735" max="9735" width="9.140625" style="273"/>
    <col min="9736" max="9736" width="11.28515625" style="273" bestFit="1" customWidth="1"/>
    <col min="9737" max="9737" width="9.42578125" style="273" customWidth="1"/>
    <col min="9738" max="9985" width="9.140625" style="273"/>
    <col min="9986" max="9986" width="19.42578125" style="273" customWidth="1"/>
    <col min="9987" max="9987" width="9.28515625" style="273" customWidth="1"/>
    <col min="9988" max="9988" width="11.42578125" style="273" customWidth="1"/>
    <col min="9989" max="9989" width="11" style="273" customWidth="1"/>
    <col min="9990" max="9990" width="15.28515625" style="273" bestFit="1" customWidth="1"/>
    <col min="9991" max="9991" width="9.140625" style="273"/>
    <col min="9992" max="9992" width="11.28515625" style="273" bestFit="1" customWidth="1"/>
    <col min="9993" max="9993" width="9.42578125" style="273" customWidth="1"/>
    <col min="9994" max="10241" width="9.140625" style="273"/>
    <col min="10242" max="10242" width="19.42578125" style="273" customWidth="1"/>
    <col min="10243" max="10243" width="9.28515625" style="273" customWidth="1"/>
    <col min="10244" max="10244" width="11.42578125" style="273" customWidth="1"/>
    <col min="10245" max="10245" width="11" style="273" customWidth="1"/>
    <col min="10246" max="10246" width="15.28515625" style="273" bestFit="1" customWidth="1"/>
    <col min="10247" max="10247" width="9.140625" style="273"/>
    <col min="10248" max="10248" width="11.28515625" style="273" bestFit="1" customWidth="1"/>
    <col min="10249" max="10249" width="9.42578125" style="273" customWidth="1"/>
    <col min="10250" max="10497" width="9.140625" style="273"/>
    <col min="10498" max="10498" width="19.42578125" style="273" customWidth="1"/>
    <col min="10499" max="10499" width="9.28515625" style="273" customWidth="1"/>
    <col min="10500" max="10500" width="11.42578125" style="273" customWidth="1"/>
    <col min="10501" max="10501" width="11" style="273" customWidth="1"/>
    <col min="10502" max="10502" width="15.28515625" style="273" bestFit="1" customWidth="1"/>
    <col min="10503" max="10503" width="9.140625" style="273"/>
    <col min="10504" max="10504" width="11.28515625" style="273" bestFit="1" customWidth="1"/>
    <col min="10505" max="10505" width="9.42578125" style="273" customWidth="1"/>
    <col min="10506" max="10753" width="9.140625" style="273"/>
    <col min="10754" max="10754" width="19.42578125" style="273" customWidth="1"/>
    <col min="10755" max="10755" width="9.28515625" style="273" customWidth="1"/>
    <col min="10756" max="10756" width="11.42578125" style="273" customWidth="1"/>
    <col min="10757" max="10757" width="11" style="273" customWidth="1"/>
    <col min="10758" max="10758" width="15.28515625" style="273" bestFit="1" customWidth="1"/>
    <col min="10759" max="10759" width="9.140625" style="273"/>
    <col min="10760" max="10760" width="11.28515625" style="273" bestFit="1" customWidth="1"/>
    <col min="10761" max="10761" width="9.42578125" style="273" customWidth="1"/>
    <col min="10762" max="11009" width="9.140625" style="273"/>
    <col min="11010" max="11010" width="19.42578125" style="273" customWidth="1"/>
    <col min="11011" max="11011" width="9.28515625" style="273" customWidth="1"/>
    <col min="11012" max="11012" width="11.42578125" style="273" customWidth="1"/>
    <col min="11013" max="11013" width="11" style="273" customWidth="1"/>
    <col min="11014" max="11014" width="15.28515625" style="273" bestFit="1" customWidth="1"/>
    <col min="11015" max="11015" width="9.140625" style="273"/>
    <col min="11016" max="11016" width="11.28515625" style="273" bestFit="1" customWidth="1"/>
    <col min="11017" max="11017" width="9.42578125" style="273" customWidth="1"/>
    <col min="11018" max="11265" width="9.140625" style="273"/>
    <col min="11266" max="11266" width="19.42578125" style="273" customWidth="1"/>
    <col min="11267" max="11267" width="9.28515625" style="273" customWidth="1"/>
    <col min="11268" max="11268" width="11.42578125" style="273" customWidth="1"/>
    <col min="11269" max="11269" width="11" style="273" customWidth="1"/>
    <col min="11270" max="11270" width="15.28515625" style="273" bestFit="1" customWidth="1"/>
    <col min="11271" max="11271" width="9.140625" style="273"/>
    <col min="11272" max="11272" width="11.28515625" style="273" bestFit="1" customWidth="1"/>
    <col min="11273" max="11273" width="9.42578125" style="273" customWidth="1"/>
    <col min="11274" max="11521" width="9.140625" style="273"/>
    <col min="11522" max="11522" width="19.42578125" style="273" customWidth="1"/>
    <col min="11523" max="11523" width="9.28515625" style="273" customWidth="1"/>
    <col min="11524" max="11524" width="11.42578125" style="273" customWidth="1"/>
    <col min="11525" max="11525" width="11" style="273" customWidth="1"/>
    <col min="11526" max="11526" width="15.28515625" style="273" bestFit="1" customWidth="1"/>
    <col min="11527" max="11527" width="9.140625" style="273"/>
    <col min="11528" max="11528" width="11.28515625" style="273" bestFit="1" customWidth="1"/>
    <col min="11529" max="11529" width="9.42578125" style="273" customWidth="1"/>
    <col min="11530" max="11777" width="9.140625" style="273"/>
    <col min="11778" max="11778" width="19.42578125" style="273" customWidth="1"/>
    <col min="11779" max="11779" width="9.28515625" style="273" customWidth="1"/>
    <col min="11780" max="11780" width="11.42578125" style="273" customWidth="1"/>
    <col min="11781" max="11781" width="11" style="273" customWidth="1"/>
    <col min="11782" max="11782" width="15.28515625" style="273" bestFit="1" customWidth="1"/>
    <col min="11783" max="11783" width="9.140625" style="273"/>
    <col min="11784" max="11784" width="11.28515625" style="273" bestFit="1" customWidth="1"/>
    <col min="11785" max="11785" width="9.42578125" style="273" customWidth="1"/>
    <col min="11786" max="12033" width="9.140625" style="273"/>
    <col min="12034" max="12034" width="19.42578125" style="273" customWidth="1"/>
    <col min="12035" max="12035" width="9.28515625" style="273" customWidth="1"/>
    <col min="12036" max="12036" width="11.42578125" style="273" customWidth="1"/>
    <col min="12037" max="12037" width="11" style="273" customWidth="1"/>
    <col min="12038" max="12038" width="15.28515625" style="273" bestFit="1" customWidth="1"/>
    <col min="12039" max="12039" width="9.140625" style="273"/>
    <col min="12040" max="12040" width="11.28515625" style="273" bestFit="1" customWidth="1"/>
    <col min="12041" max="12041" width="9.42578125" style="273" customWidth="1"/>
    <col min="12042" max="12289" width="9.140625" style="273"/>
    <col min="12290" max="12290" width="19.42578125" style="273" customWidth="1"/>
    <col min="12291" max="12291" width="9.28515625" style="273" customWidth="1"/>
    <col min="12292" max="12292" width="11.42578125" style="273" customWidth="1"/>
    <col min="12293" max="12293" width="11" style="273" customWidth="1"/>
    <col min="12294" max="12294" width="15.28515625" style="273" bestFit="1" customWidth="1"/>
    <col min="12295" max="12295" width="9.140625" style="273"/>
    <col min="12296" max="12296" width="11.28515625" style="273" bestFit="1" customWidth="1"/>
    <col min="12297" max="12297" width="9.42578125" style="273" customWidth="1"/>
    <col min="12298" max="12545" width="9.140625" style="273"/>
    <col min="12546" max="12546" width="19.42578125" style="273" customWidth="1"/>
    <col min="12547" max="12547" width="9.28515625" style="273" customWidth="1"/>
    <col min="12548" max="12548" width="11.42578125" style="273" customWidth="1"/>
    <col min="12549" max="12549" width="11" style="273" customWidth="1"/>
    <col min="12550" max="12550" width="15.28515625" style="273" bestFit="1" customWidth="1"/>
    <col min="12551" max="12551" width="9.140625" style="273"/>
    <col min="12552" max="12552" width="11.28515625" style="273" bestFit="1" customWidth="1"/>
    <col min="12553" max="12553" width="9.42578125" style="273" customWidth="1"/>
    <col min="12554" max="12801" width="9.140625" style="273"/>
    <col min="12802" max="12802" width="19.42578125" style="273" customWidth="1"/>
    <col min="12803" max="12803" width="9.28515625" style="273" customWidth="1"/>
    <col min="12804" max="12804" width="11.42578125" style="273" customWidth="1"/>
    <col min="12805" max="12805" width="11" style="273" customWidth="1"/>
    <col min="12806" max="12806" width="15.28515625" style="273" bestFit="1" customWidth="1"/>
    <col min="12807" max="12807" width="9.140625" style="273"/>
    <col min="12808" max="12808" width="11.28515625" style="273" bestFit="1" customWidth="1"/>
    <col min="12809" max="12809" width="9.42578125" style="273" customWidth="1"/>
    <col min="12810" max="13057" width="9.140625" style="273"/>
    <col min="13058" max="13058" width="19.42578125" style="273" customWidth="1"/>
    <col min="13059" max="13059" width="9.28515625" style="273" customWidth="1"/>
    <col min="13060" max="13060" width="11.42578125" style="273" customWidth="1"/>
    <col min="13061" max="13061" width="11" style="273" customWidth="1"/>
    <col min="13062" max="13062" width="15.28515625" style="273" bestFit="1" customWidth="1"/>
    <col min="13063" max="13063" width="9.140625" style="273"/>
    <col min="13064" max="13064" width="11.28515625" style="273" bestFit="1" customWidth="1"/>
    <col min="13065" max="13065" width="9.42578125" style="273" customWidth="1"/>
    <col min="13066" max="13313" width="9.140625" style="273"/>
    <col min="13314" max="13314" width="19.42578125" style="273" customWidth="1"/>
    <col min="13315" max="13315" width="9.28515625" style="273" customWidth="1"/>
    <col min="13316" max="13316" width="11.42578125" style="273" customWidth="1"/>
    <col min="13317" max="13317" width="11" style="273" customWidth="1"/>
    <col min="13318" max="13318" width="15.28515625" style="273" bestFit="1" customWidth="1"/>
    <col min="13319" max="13319" width="9.140625" style="273"/>
    <col min="13320" max="13320" width="11.28515625" style="273" bestFit="1" customWidth="1"/>
    <col min="13321" max="13321" width="9.42578125" style="273" customWidth="1"/>
    <col min="13322" max="13569" width="9.140625" style="273"/>
    <col min="13570" max="13570" width="19.42578125" style="273" customWidth="1"/>
    <col min="13571" max="13571" width="9.28515625" style="273" customWidth="1"/>
    <col min="13572" max="13572" width="11.42578125" style="273" customWidth="1"/>
    <col min="13573" max="13573" width="11" style="273" customWidth="1"/>
    <col min="13574" max="13574" width="15.28515625" style="273" bestFit="1" customWidth="1"/>
    <col min="13575" max="13575" width="9.140625" style="273"/>
    <col min="13576" max="13576" width="11.28515625" style="273" bestFit="1" customWidth="1"/>
    <col min="13577" max="13577" width="9.42578125" style="273" customWidth="1"/>
    <col min="13578" max="13825" width="9.140625" style="273"/>
    <col min="13826" max="13826" width="19.42578125" style="273" customWidth="1"/>
    <col min="13827" max="13827" width="9.28515625" style="273" customWidth="1"/>
    <col min="13828" max="13828" width="11.42578125" style="273" customWidth="1"/>
    <col min="13829" max="13829" width="11" style="273" customWidth="1"/>
    <col min="13830" max="13830" width="15.28515625" style="273" bestFit="1" customWidth="1"/>
    <col min="13831" max="13831" width="9.140625" style="273"/>
    <col min="13832" max="13832" width="11.28515625" style="273" bestFit="1" customWidth="1"/>
    <col min="13833" max="13833" width="9.42578125" style="273" customWidth="1"/>
    <col min="13834" max="14081" width="9.140625" style="273"/>
    <col min="14082" max="14082" width="19.42578125" style="273" customWidth="1"/>
    <col min="14083" max="14083" width="9.28515625" style="273" customWidth="1"/>
    <col min="14084" max="14084" width="11.42578125" style="273" customWidth="1"/>
    <col min="14085" max="14085" width="11" style="273" customWidth="1"/>
    <col min="14086" max="14086" width="15.28515625" style="273" bestFit="1" customWidth="1"/>
    <col min="14087" max="14087" width="9.140625" style="273"/>
    <col min="14088" max="14088" width="11.28515625" style="273" bestFit="1" customWidth="1"/>
    <col min="14089" max="14089" width="9.42578125" style="273" customWidth="1"/>
    <col min="14090" max="14337" width="9.140625" style="273"/>
    <col min="14338" max="14338" width="19.42578125" style="273" customWidth="1"/>
    <col min="14339" max="14339" width="9.28515625" style="273" customWidth="1"/>
    <col min="14340" max="14340" width="11.42578125" style="273" customWidth="1"/>
    <col min="14341" max="14341" width="11" style="273" customWidth="1"/>
    <col min="14342" max="14342" width="15.28515625" style="273" bestFit="1" customWidth="1"/>
    <col min="14343" max="14343" width="9.140625" style="273"/>
    <col min="14344" max="14344" width="11.28515625" style="273" bestFit="1" customWidth="1"/>
    <col min="14345" max="14345" width="9.42578125" style="273" customWidth="1"/>
    <col min="14346" max="14593" width="9.140625" style="273"/>
    <col min="14594" max="14594" width="19.42578125" style="273" customWidth="1"/>
    <col min="14595" max="14595" width="9.28515625" style="273" customWidth="1"/>
    <col min="14596" max="14596" width="11.42578125" style="273" customWidth="1"/>
    <col min="14597" max="14597" width="11" style="273" customWidth="1"/>
    <col min="14598" max="14598" width="15.28515625" style="273" bestFit="1" customWidth="1"/>
    <col min="14599" max="14599" width="9.140625" style="273"/>
    <col min="14600" max="14600" width="11.28515625" style="273" bestFit="1" customWidth="1"/>
    <col min="14601" max="14601" width="9.42578125" style="273" customWidth="1"/>
    <col min="14602" max="14849" width="9.140625" style="273"/>
    <col min="14850" max="14850" width="19.42578125" style="273" customWidth="1"/>
    <col min="14851" max="14851" width="9.28515625" style="273" customWidth="1"/>
    <col min="14852" max="14852" width="11.42578125" style="273" customWidth="1"/>
    <col min="14853" max="14853" width="11" style="273" customWidth="1"/>
    <col min="14854" max="14854" width="15.28515625" style="273" bestFit="1" customWidth="1"/>
    <col min="14855" max="14855" width="9.140625" style="273"/>
    <col min="14856" max="14856" width="11.28515625" style="273" bestFit="1" customWidth="1"/>
    <col min="14857" max="14857" width="9.42578125" style="273" customWidth="1"/>
    <col min="14858" max="15105" width="9.140625" style="273"/>
    <col min="15106" max="15106" width="19.42578125" style="273" customWidth="1"/>
    <col min="15107" max="15107" width="9.28515625" style="273" customWidth="1"/>
    <col min="15108" max="15108" width="11.42578125" style="273" customWidth="1"/>
    <col min="15109" max="15109" width="11" style="273" customWidth="1"/>
    <col min="15110" max="15110" width="15.28515625" style="273" bestFit="1" customWidth="1"/>
    <col min="15111" max="15111" width="9.140625" style="273"/>
    <col min="15112" max="15112" width="11.28515625" style="273" bestFit="1" customWidth="1"/>
    <col min="15113" max="15113" width="9.42578125" style="273" customWidth="1"/>
    <col min="15114" max="15361" width="9.140625" style="273"/>
    <col min="15362" max="15362" width="19.42578125" style="273" customWidth="1"/>
    <col min="15363" max="15363" width="9.28515625" style="273" customWidth="1"/>
    <col min="15364" max="15364" width="11.42578125" style="273" customWidth="1"/>
    <col min="15365" max="15365" width="11" style="273" customWidth="1"/>
    <col min="15366" max="15366" width="15.28515625" style="273" bestFit="1" customWidth="1"/>
    <col min="15367" max="15367" width="9.140625" style="273"/>
    <col min="15368" max="15368" width="11.28515625" style="273" bestFit="1" customWidth="1"/>
    <col min="15369" max="15369" width="9.42578125" style="273" customWidth="1"/>
    <col min="15370" max="15617" width="9.140625" style="273"/>
    <col min="15618" max="15618" width="19.42578125" style="273" customWidth="1"/>
    <col min="15619" max="15619" width="9.28515625" style="273" customWidth="1"/>
    <col min="15620" max="15620" width="11.42578125" style="273" customWidth="1"/>
    <col min="15621" max="15621" width="11" style="273" customWidth="1"/>
    <col min="15622" max="15622" width="15.28515625" style="273" bestFit="1" customWidth="1"/>
    <col min="15623" max="15623" width="9.140625" style="273"/>
    <col min="15624" max="15624" width="11.28515625" style="273" bestFit="1" customWidth="1"/>
    <col min="15625" max="15625" width="9.42578125" style="273" customWidth="1"/>
    <col min="15626" max="15873" width="9.140625" style="273"/>
    <col min="15874" max="15874" width="19.42578125" style="273" customWidth="1"/>
    <col min="15875" max="15875" width="9.28515625" style="273" customWidth="1"/>
    <col min="15876" max="15876" width="11.42578125" style="273" customWidth="1"/>
    <col min="15877" max="15877" width="11" style="273" customWidth="1"/>
    <col min="15878" max="15878" width="15.28515625" style="273" bestFit="1" customWidth="1"/>
    <col min="15879" max="15879" width="9.140625" style="273"/>
    <col min="15880" max="15880" width="11.28515625" style="273" bestFit="1" customWidth="1"/>
    <col min="15881" max="15881" width="9.42578125" style="273" customWidth="1"/>
    <col min="15882" max="16129" width="9.140625" style="273"/>
    <col min="16130" max="16130" width="19.42578125" style="273" customWidth="1"/>
    <col min="16131" max="16131" width="9.28515625" style="273" customWidth="1"/>
    <col min="16132" max="16132" width="11.42578125" style="273" customWidth="1"/>
    <col min="16133" max="16133" width="11" style="273" customWidth="1"/>
    <col min="16134" max="16134" width="15.28515625" style="273" bestFit="1" customWidth="1"/>
    <col min="16135" max="16135" width="9.140625" style="273"/>
    <col min="16136" max="16136" width="11.28515625" style="273" bestFit="1" customWidth="1"/>
    <col min="16137" max="16137" width="9.42578125" style="273" customWidth="1"/>
    <col min="16138" max="16384" width="9.140625" style="273"/>
  </cols>
  <sheetData>
    <row r="2" spans="2:8">
      <c r="B2" s="268" t="s">
        <v>162</v>
      </c>
      <c r="C2" s="269"/>
      <c r="D2" s="270" t="s">
        <v>163</v>
      </c>
      <c r="E2" s="34" t="s">
        <v>397</v>
      </c>
      <c r="F2" s="271"/>
      <c r="G2" s="271"/>
      <c r="H2" s="272"/>
    </row>
    <row r="3" spans="2:8" ht="39.75" customHeight="1">
      <c r="B3" s="274" t="s">
        <v>164</v>
      </c>
      <c r="C3" s="275"/>
      <c r="D3" s="276" t="s">
        <v>163</v>
      </c>
      <c r="E3" s="342" t="s">
        <v>398</v>
      </c>
      <c r="F3" s="298"/>
      <c r="G3" s="298"/>
      <c r="H3" s="299"/>
    </row>
    <row r="4" spans="2:8">
      <c r="B4" s="274" t="s">
        <v>165</v>
      </c>
      <c r="C4" s="275"/>
      <c r="D4" s="276" t="s">
        <v>163</v>
      </c>
      <c r="E4" s="277" t="s">
        <v>355</v>
      </c>
      <c r="F4" s="278"/>
      <c r="G4" s="278"/>
      <c r="H4" s="279"/>
    </row>
    <row r="5" spans="2:8">
      <c r="B5" s="274" t="s">
        <v>166</v>
      </c>
      <c r="C5" s="275"/>
      <c r="D5" s="276" t="s">
        <v>163</v>
      </c>
      <c r="E5" s="278" t="s">
        <v>208</v>
      </c>
      <c r="F5" s="278"/>
      <c r="G5" s="278"/>
      <c r="H5" s="279"/>
    </row>
    <row r="6" spans="2:8">
      <c r="B6" s="274" t="s">
        <v>167</v>
      </c>
      <c r="C6" s="275"/>
      <c r="D6" s="276" t="s">
        <v>163</v>
      </c>
      <c r="E6" s="278" t="s">
        <v>379</v>
      </c>
      <c r="F6" s="278"/>
      <c r="G6" s="278"/>
      <c r="H6" s="279"/>
    </row>
    <row r="7" spans="2:8">
      <c r="B7" s="274" t="s">
        <v>169</v>
      </c>
      <c r="C7" s="275"/>
      <c r="D7" s="276" t="s">
        <v>163</v>
      </c>
      <c r="E7" s="343" t="s">
        <v>399</v>
      </c>
      <c r="F7" s="278"/>
      <c r="G7" s="278"/>
      <c r="H7" s="279"/>
    </row>
    <row r="8" spans="2:8">
      <c r="B8" s="274" t="s">
        <v>170</v>
      </c>
      <c r="C8" s="275"/>
      <c r="D8" s="276" t="s">
        <v>163</v>
      </c>
      <c r="E8" s="278" t="s">
        <v>171</v>
      </c>
      <c r="F8" s="278"/>
      <c r="G8" s="278"/>
      <c r="H8" s="279"/>
    </row>
    <row r="9" spans="2:8">
      <c r="B9" s="274" t="s">
        <v>172</v>
      </c>
      <c r="C9" s="275"/>
      <c r="D9" s="276" t="s">
        <v>163</v>
      </c>
      <c r="E9" s="343" t="s">
        <v>400</v>
      </c>
      <c r="F9" s="278"/>
      <c r="G9" s="278"/>
      <c r="H9" s="279"/>
    </row>
    <row r="10" spans="2:8">
      <c r="B10" s="274"/>
      <c r="C10" s="275"/>
      <c r="D10" s="276"/>
      <c r="E10" s="343" t="s">
        <v>401</v>
      </c>
      <c r="F10" s="278"/>
      <c r="G10" s="278"/>
      <c r="H10" s="279"/>
    </row>
    <row r="11" spans="2:8">
      <c r="B11" s="280"/>
      <c r="C11" s="275"/>
      <c r="D11" s="275"/>
      <c r="E11" s="275"/>
      <c r="F11" s="275"/>
      <c r="G11" s="275"/>
      <c r="H11" s="281"/>
    </row>
    <row r="12" spans="2:8" ht="18">
      <c r="B12" s="300" t="s">
        <v>173</v>
      </c>
      <c r="C12" s="301"/>
      <c r="D12" s="301"/>
      <c r="E12" s="301"/>
      <c r="F12" s="301"/>
      <c r="G12" s="301"/>
      <c r="H12" s="302"/>
    </row>
    <row r="13" spans="2:8">
      <c r="B13" s="280"/>
      <c r="C13" s="275"/>
      <c r="D13" s="275"/>
      <c r="E13" s="275"/>
      <c r="F13" s="275"/>
      <c r="G13" s="275"/>
      <c r="H13" s="282" t="s">
        <v>174</v>
      </c>
    </row>
    <row r="14" spans="2:8">
      <c r="B14" s="280"/>
      <c r="C14" s="275"/>
      <c r="D14" s="275"/>
      <c r="E14" s="275"/>
      <c r="F14" s="275"/>
      <c r="G14" s="275"/>
      <c r="H14" s="283" t="s">
        <v>175</v>
      </c>
    </row>
    <row r="15" spans="2:8">
      <c r="B15" s="280"/>
      <c r="C15" s="275"/>
      <c r="D15" s="275"/>
      <c r="E15" s="275"/>
      <c r="F15" s="275"/>
      <c r="G15" s="275"/>
      <c r="H15" s="283"/>
    </row>
    <row r="16" spans="2:8">
      <c r="B16" s="274" t="s">
        <v>209</v>
      </c>
      <c r="C16" s="275"/>
      <c r="D16" s="275"/>
      <c r="E16" s="275"/>
      <c r="G16" s="275"/>
      <c r="H16" s="281"/>
    </row>
    <row r="17" spans="2:8">
      <c r="B17" s="274" t="s">
        <v>210</v>
      </c>
      <c r="C17" s="275"/>
      <c r="D17" s="275"/>
      <c r="E17" s="275"/>
      <c r="F17" s="275">
        <f>+'P&amp;L'!E22</f>
        <v>-1141961.7100000009</v>
      </c>
      <c r="G17" s="275"/>
      <c r="H17" s="281"/>
    </row>
    <row r="18" spans="2:8">
      <c r="B18" s="284" t="s">
        <v>176</v>
      </c>
      <c r="C18" s="275"/>
      <c r="D18" s="275"/>
      <c r="E18" s="275"/>
      <c r="F18" s="275">
        <f>+'P&amp;L Sch'!C57</f>
        <v>19739</v>
      </c>
      <c r="G18" s="275"/>
      <c r="H18" s="281"/>
    </row>
    <row r="19" spans="2:8">
      <c r="B19" s="284" t="s">
        <v>177</v>
      </c>
      <c r="C19" s="275"/>
      <c r="D19" s="275"/>
      <c r="E19" s="275"/>
      <c r="F19" s="275">
        <f>+'P&amp;L Sch'!C50</f>
        <v>499</v>
      </c>
      <c r="G19" s="275"/>
      <c r="H19" s="281"/>
    </row>
    <row r="20" spans="2:8">
      <c r="B20" s="284" t="s">
        <v>211</v>
      </c>
      <c r="C20" s="275"/>
      <c r="D20" s="275"/>
      <c r="E20" s="275"/>
      <c r="F20" s="285">
        <v>600000</v>
      </c>
      <c r="G20" s="275"/>
      <c r="H20" s="281"/>
    </row>
    <row r="21" spans="2:8">
      <c r="B21" s="284"/>
      <c r="C21" s="275"/>
      <c r="D21" s="275"/>
      <c r="E21" s="275"/>
      <c r="F21" s="275">
        <f>SUM(F17:F20)</f>
        <v>-521723.71000000089</v>
      </c>
      <c r="G21" s="275"/>
      <c r="H21" s="281"/>
    </row>
    <row r="22" spans="2:8">
      <c r="B22" s="284" t="s">
        <v>212</v>
      </c>
      <c r="C22" s="275"/>
      <c r="D22" s="275"/>
      <c r="E22" s="275"/>
      <c r="F22" s="285">
        <f>+H60</f>
        <v>150000</v>
      </c>
      <c r="G22" s="275"/>
      <c r="H22" s="281"/>
    </row>
    <row r="23" spans="2:8">
      <c r="B23" s="284" t="s">
        <v>213</v>
      </c>
      <c r="C23" s="275"/>
      <c r="D23" s="275"/>
      <c r="E23" s="275"/>
      <c r="F23" s="275"/>
      <c r="G23" s="275"/>
      <c r="H23" s="281">
        <f>+F21-F22</f>
        <v>-671723.71000000089</v>
      </c>
    </row>
    <row r="24" spans="2:8">
      <c r="B24" s="274"/>
      <c r="C24" s="275"/>
      <c r="D24" s="275"/>
      <c r="E24" s="275"/>
      <c r="F24" s="275"/>
      <c r="G24" s="275"/>
      <c r="H24" s="281"/>
    </row>
    <row r="25" spans="2:8">
      <c r="B25" s="274"/>
      <c r="C25" s="275"/>
      <c r="D25" s="275"/>
      <c r="E25" s="275"/>
      <c r="F25" s="275" t="s">
        <v>178</v>
      </c>
      <c r="G25" s="275"/>
      <c r="H25" s="286">
        <f>+H23</f>
        <v>-671723.71000000089</v>
      </c>
    </row>
    <row r="26" spans="2:8" ht="13.5" thickBot="1">
      <c r="B26" s="274"/>
      <c r="C26" s="275"/>
      <c r="D26" s="275"/>
      <c r="E26" s="275"/>
      <c r="F26" s="275" t="s">
        <v>179</v>
      </c>
      <c r="G26" s="275"/>
      <c r="H26" s="287">
        <f>ROUND(H25,-1)</f>
        <v>-671720</v>
      </c>
    </row>
    <row r="27" spans="2:8" ht="13.5" thickTop="1">
      <c r="B27" s="280"/>
      <c r="C27" s="275"/>
      <c r="D27" s="275"/>
      <c r="E27" s="275"/>
      <c r="F27" s="275"/>
      <c r="G27" s="275"/>
      <c r="H27" s="281"/>
    </row>
    <row r="28" spans="2:8">
      <c r="B28" s="280" t="s">
        <v>180</v>
      </c>
      <c r="C28" s="275"/>
      <c r="D28" s="275"/>
      <c r="E28" s="275"/>
      <c r="F28" s="275">
        <v>0</v>
      </c>
      <c r="G28" s="275"/>
      <c r="H28" s="281"/>
    </row>
    <row r="29" spans="2:8">
      <c r="B29" s="280" t="s">
        <v>181</v>
      </c>
      <c r="C29" s="275"/>
      <c r="D29" s="275"/>
      <c r="E29" s="275"/>
      <c r="F29" s="285">
        <f>ROUND(+F28*0.03,0)</f>
        <v>0</v>
      </c>
      <c r="G29" s="275"/>
      <c r="H29" s="281"/>
    </row>
    <row r="30" spans="2:8">
      <c r="B30" s="280"/>
      <c r="C30" s="275"/>
      <c r="D30" s="275"/>
      <c r="E30" s="275"/>
      <c r="F30" s="275">
        <f>+F28+F29</f>
        <v>0</v>
      </c>
      <c r="G30" s="275"/>
      <c r="H30" s="281"/>
    </row>
    <row r="31" spans="2:8">
      <c r="B31" s="284" t="s">
        <v>182</v>
      </c>
      <c r="C31" s="275"/>
      <c r="D31" s="275"/>
      <c r="E31" s="275"/>
      <c r="F31" s="285">
        <v>242271</v>
      </c>
      <c r="G31" s="275"/>
      <c r="H31" s="281"/>
    </row>
    <row r="32" spans="2:8" ht="13.5" thickBot="1">
      <c r="B32" s="280"/>
      <c r="C32" s="275"/>
      <c r="D32" s="288" t="s">
        <v>183</v>
      </c>
      <c r="E32" s="275"/>
      <c r="F32" s="289">
        <f>F31-F30</f>
        <v>242271</v>
      </c>
      <c r="G32" s="275"/>
      <c r="H32" s="281"/>
    </row>
    <row r="33" spans="2:8" ht="13.5" thickTop="1">
      <c r="B33" s="280"/>
      <c r="C33" s="275"/>
      <c r="D33" s="288" t="s">
        <v>184</v>
      </c>
      <c r="E33" s="275"/>
      <c r="F33" s="275">
        <f>F32</f>
        <v>242271</v>
      </c>
      <c r="G33" s="275"/>
      <c r="H33" s="281"/>
    </row>
    <row r="34" spans="2:8">
      <c r="B34" s="280"/>
      <c r="C34" s="275"/>
      <c r="D34" s="275"/>
      <c r="E34" s="275"/>
      <c r="F34" s="275"/>
      <c r="G34" s="275"/>
      <c r="H34" s="281"/>
    </row>
    <row r="35" spans="2:8">
      <c r="B35" s="280"/>
      <c r="C35" s="275"/>
      <c r="D35" s="275"/>
      <c r="E35" s="275"/>
      <c r="F35" s="275"/>
      <c r="G35" s="275"/>
      <c r="H35" s="281"/>
    </row>
    <row r="36" spans="2:8">
      <c r="B36" s="280"/>
      <c r="C36" s="275"/>
      <c r="D36" s="275"/>
      <c r="E36" s="275"/>
      <c r="F36" s="275"/>
      <c r="G36" s="275"/>
      <c r="H36" s="281"/>
    </row>
    <row r="37" spans="2:8">
      <c r="B37" s="280"/>
      <c r="C37" s="275"/>
      <c r="D37" s="275"/>
      <c r="E37" s="275"/>
      <c r="F37" s="275"/>
      <c r="G37" s="275"/>
      <c r="H37" s="281"/>
    </row>
    <row r="38" spans="2:8">
      <c r="B38" s="280"/>
      <c r="C38" s="275"/>
      <c r="D38" s="275"/>
      <c r="E38" s="290" t="s">
        <v>158</v>
      </c>
      <c r="F38" s="290" t="s">
        <v>158</v>
      </c>
      <c r="G38" s="275"/>
      <c r="H38" s="281"/>
    </row>
    <row r="39" spans="2:8">
      <c r="B39" s="280"/>
      <c r="C39" s="275"/>
      <c r="D39" s="275"/>
      <c r="E39" s="275"/>
      <c r="F39" s="275"/>
      <c r="G39" s="275"/>
      <c r="H39" s="281"/>
    </row>
    <row r="40" spans="2:8">
      <c r="B40" s="280"/>
      <c r="C40" s="275"/>
      <c r="D40" s="275"/>
      <c r="E40" s="275"/>
      <c r="F40" s="275"/>
      <c r="G40" s="275"/>
      <c r="H40" s="281"/>
    </row>
    <row r="41" spans="2:8">
      <c r="B41" s="291"/>
      <c r="C41" s="285"/>
      <c r="D41" s="285"/>
      <c r="E41" s="285"/>
      <c r="F41" s="285"/>
      <c r="G41" s="285"/>
      <c r="H41" s="286"/>
    </row>
    <row r="44" spans="2:8">
      <c r="B44" s="292"/>
      <c r="C44" s="292"/>
      <c r="D44" s="292"/>
      <c r="E44" s="292"/>
      <c r="F44" s="292"/>
      <c r="G44" s="293"/>
      <c r="H44" s="293"/>
    </row>
    <row r="45" spans="2:8">
      <c r="B45" s="292"/>
      <c r="C45" s="292"/>
      <c r="D45" s="292" t="s">
        <v>214</v>
      </c>
      <c r="E45" s="292"/>
      <c r="F45" s="292"/>
      <c r="G45" s="293"/>
      <c r="H45" s="293"/>
    </row>
    <row r="46" spans="2:8">
      <c r="B46" s="292"/>
      <c r="C46" s="292"/>
      <c r="D46" s="292"/>
      <c r="E46" s="292"/>
      <c r="F46" s="292"/>
      <c r="G46" s="293"/>
      <c r="H46" s="293"/>
    </row>
    <row r="47" spans="2:8">
      <c r="B47" s="292"/>
      <c r="C47" s="292"/>
      <c r="D47" s="294" t="s">
        <v>380</v>
      </c>
      <c r="E47" s="292"/>
      <c r="F47" s="292"/>
      <c r="G47" s="293"/>
      <c r="H47" s="293"/>
    </row>
    <row r="48" spans="2:8">
      <c r="B48" s="292"/>
      <c r="C48" s="292"/>
      <c r="D48" s="292"/>
      <c r="E48" s="292"/>
      <c r="F48" s="292"/>
      <c r="G48" s="293"/>
      <c r="H48" s="293"/>
    </row>
    <row r="49" spans="2:9">
      <c r="B49" s="292"/>
      <c r="C49" s="292"/>
      <c r="D49" s="292"/>
      <c r="E49" s="292"/>
      <c r="F49" s="292"/>
      <c r="G49" s="293"/>
      <c r="H49" s="293"/>
    </row>
    <row r="50" spans="2:9">
      <c r="B50" s="292" t="s">
        <v>215</v>
      </c>
      <c r="C50" s="292"/>
      <c r="D50" s="292"/>
      <c r="E50" s="292"/>
      <c r="F50" s="292"/>
      <c r="G50" s="293"/>
      <c r="H50" s="293">
        <f>+F21</f>
        <v>-521723.71000000089</v>
      </c>
    </row>
    <row r="51" spans="2:9">
      <c r="B51" s="292"/>
      <c r="C51" s="292"/>
      <c r="D51" s="292"/>
      <c r="E51" s="292"/>
      <c r="F51" s="292"/>
      <c r="G51" s="293"/>
      <c r="H51" s="293"/>
    </row>
    <row r="52" spans="2:9">
      <c r="B52" s="292"/>
      <c r="C52" s="292"/>
      <c r="D52" s="292"/>
      <c r="E52" s="292"/>
      <c r="F52" s="292"/>
      <c r="G52" s="293"/>
      <c r="H52" s="293"/>
    </row>
    <row r="53" spans="2:9">
      <c r="B53" s="292" t="s">
        <v>216</v>
      </c>
      <c r="C53" s="292"/>
      <c r="D53" s="292"/>
      <c r="E53" s="292"/>
      <c r="F53" s="292"/>
      <c r="G53" s="293"/>
      <c r="H53" s="293"/>
    </row>
    <row r="54" spans="2:9">
      <c r="B54" s="292"/>
      <c r="C54" s="292"/>
      <c r="D54" s="292"/>
      <c r="E54" s="292"/>
      <c r="F54" s="292"/>
      <c r="G54" s="293"/>
      <c r="H54" s="293"/>
    </row>
    <row r="55" spans="2:9">
      <c r="B55" s="292" t="s">
        <v>217</v>
      </c>
      <c r="C55" s="292"/>
      <c r="D55" s="292">
        <f>MIN(H50,0,)</f>
        <v>-521723.71000000089</v>
      </c>
      <c r="E55" s="295" t="s">
        <v>218</v>
      </c>
      <c r="F55" s="292"/>
      <c r="G55" s="293">
        <v>150000</v>
      </c>
      <c r="H55" s="293" t="e">
        <f>MIN((E55*90/100),150000,0)</f>
        <v>#VALUE!</v>
      </c>
    </row>
    <row r="56" spans="2:9">
      <c r="B56" s="292" t="s">
        <v>219</v>
      </c>
      <c r="C56" s="292"/>
      <c r="D56" s="292">
        <f>+H50-D55</f>
        <v>0</v>
      </c>
      <c r="E56" s="295" t="s">
        <v>220</v>
      </c>
      <c r="F56" s="292"/>
      <c r="G56" s="293">
        <f>+D56*60/100</f>
        <v>0</v>
      </c>
      <c r="H56" s="293"/>
    </row>
    <row r="57" spans="2:9">
      <c r="B57" s="292"/>
      <c r="C57" s="292"/>
      <c r="D57" s="292"/>
      <c r="E57" s="292"/>
      <c r="F57" s="292"/>
      <c r="G57" s="296"/>
      <c r="H57" s="293"/>
    </row>
    <row r="58" spans="2:9">
      <c r="B58" s="292"/>
      <c r="C58" s="292"/>
      <c r="D58" s="292"/>
      <c r="E58" s="292"/>
      <c r="F58" s="292"/>
      <c r="G58" s="293">
        <f>SUM(G55:G57)</f>
        <v>150000</v>
      </c>
      <c r="H58" s="293"/>
    </row>
    <row r="59" spans="2:9">
      <c r="B59" s="292"/>
      <c r="C59" s="292"/>
      <c r="D59" s="292"/>
      <c r="E59" s="292"/>
      <c r="F59" s="292"/>
      <c r="G59" s="293"/>
      <c r="H59" s="293"/>
    </row>
    <row r="60" spans="2:9">
      <c r="B60" s="292" t="s">
        <v>221</v>
      </c>
      <c r="C60" s="292"/>
      <c r="D60" s="292"/>
      <c r="E60" s="292"/>
      <c r="F60" s="292"/>
      <c r="G60" s="293">
        <f>+F20</f>
        <v>600000</v>
      </c>
      <c r="H60" s="293">
        <f>MIN(G58,G60)</f>
        <v>150000</v>
      </c>
      <c r="I60" s="273">
        <f>+H60/2</f>
        <v>75000</v>
      </c>
    </row>
    <row r="61" spans="2:9">
      <c r="B61" s="292"/>
      <c r="C61" s="292"/>
      <c r="D61" s="292"/>
      <c r="E61" s="292"/>
      <c r="F61" s="292"/>
      <c r="G61" s="293"/>
      <c r="H61" s="293"/>
    </row>
    <row r="62" spans="2:9">
      <c r="B62" s="292"/>
      <c r="C62" s="292"/>
      <c r="D62" s="292"/>
      <c r="E62" s="292"/>
      <c r="F62" s="292"/>
      <c r="G62" s="293"/>
      <c r="H62" s="293"/>
    </row>
    <row r="63" spans="2:9">
      <c r="B63" s="292" t="s">
        <v>222</v>
      </c>
      <c r="C63" s="292"/>
      <c r="D63" s="292"/>
      <c r="E63" s="292"/>
      <c r="F63" s="292"/>
      <c r="G63" s="293"/>
      <c r="H63" s="293">
        <f>+H50-H60</f>
        <v>-671723.71000000089</v>
      </c>
    </row>
    <row r="64" spans="2:9">
      <c r="B64" s="292"/>
      <c r="C64" s="292"/>
      <c r="D64" s="292"/>
      <c r="E64" s="292"/>
      <c r="F64" s="292"/>
      <c r="G64" s="293"/>
      <c r="H64" s="293"/>
    </row>
  </sheetData>
  <mergeCells count="2">
    <mergeCell ref="E3:H3"/>
    <mergeCell ref="B12:H1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3:E27"/>
  <sheetViews>
    <sheetView topLeftCell="A4" workbookViewId="0">
      <selection activeCell="I28" sqref="I28"/>
    </sheetView>
  </sheetViews>
  <sheetFormatPr defaultRowHeight="12.75"/>
  <cols>
    <col min="1" max="1" width="29.42578125" style="14" bestFit="1" customWidth="1"/>
    <col min="2" max="2" width="19.28515625" style="14" customWidth="1"/>
    <col min="3" max="3" width="16" style="14" customWidth="1"/>
    <col min="4" max="4" width="11.42578125" style="14" customWidth="1"/>
    <col min="5" max="5" width="12.42578125" style="14" customWidth="1"/>
    <col min="6" max="16384" width="9.140625" style="14"/>
  </cols>
  <sheetData>
    <row r="3" spans="1:5">
      <c r="B3" s="140" t="s">
        <v>261</v>
      </c>
    </row>
    <row r="4" spans="1:5" s="115" customFormat="1" ht="38.25" customHeight="1">
      <c r="A4" s="142" t="s">
        <v>260</v>
      </c>
      <c r="B4" s="115" t="s">
        <v>266</v>
      </c>
      <c r="C4" s="115" t="s">
        <v>262</v>
      </c>
      <c r="D4" s="115" t="s">
        <v>263</v>
      </c>
      <c r="E4" s="115" t="s">
        <v>264</v>
      </c>
    </row>
    <row r="5" spans="1:5">
      <c r="A5" s="144" t="s">
        <v>245</v>
      </c>
      <c r="B5" s="145">
        <v>33350</v>
      </c>
      <c r="C5" s="145">
        <v>667</v>
      </c>
      <c r="D5" s="145">
        <v>760</v>
      </c>
      <c r="E5" s="145">
        <v>-93</v>
      </c>
    </row>
    <row r="6" spans="1:5">
      <c r="A6" s="143" t="s">
        <v>243</v>
      </c>
      <c r="B6" s="112">
        <v>1371200</v>
      </c>
      <c r="C6" s="112">
        <v>27424</v>
      </c>
      <c r="D6" s="112">
        <v>27424</v>
      </c>
      <c r="E6" s="112">
        <v>0</v>
      </c>
    </row>
    <row r="7" spans="1:5">
      <c r="A7" s="143" t="s">
        <v>249</v>
      </c>
      <c r="B7" s="112">
        <v>71400</v>
      </c>
      <c r="C7" s="112">
        <v>1428</v>
      </c>
      <c r="D7" s="112">
        <v>1428</v>
      </c>
      <c r="E7" s="112">
        <v>0</v>
      </c>
    </row>
    <row r="8" spans="1:5">
      <c r="A8" s="143" t="s">
        <v>244</v>
      </c>
      <c r="B8" s="112">
        <v>1458000</v>
      </c>
      <c r="C8" s="112">
        <v>29160</v>
      </c>
      <c r="D8" s="112">
        <v>29160</v>
      </c>
      <c r="E8" s="112">
        <v>0</v>
      </c>
    </row>
    <row r="9" spans="1:5">
      <c r="A9" s="144" t="s">
        <v>246</v>
      </c>
      <c r="B9" s="145">
        <v>181400</v>
      </c>
      <c r="C9" s="145">
        <v>3628</v>
      </c>
      <c r="D9" s="145">
        <v>4136</v>
      </c>
      <c r="E9" s="145">
        <v>-508</v>
      </c>
    </row>
    <row r="10" spans="1:5">
      <c r="A10" s="143" t="s">
        <v>241</v>
      </c>
      <c r="B10" s="112">
        <v>93500</v>
      </c>
      <c r="C10" s="112">
        <v>0</v>
      </c>
      <c r="D10" s="112"/>
      <c r="E10" s="112">
        <v>0</v>
      </c>
    </row>
    <row r="11" spans="1:5">
      <c r="A11" s="141" t="s">
        <v>234</v>
      </c>
      <c r="B11" s="14">
        <v>2468758</v>
      </c>
      <c r="C11" s="14">
        <v>49375.16</v>
      </c>
      <c r="D11" s="14">
        <v>49296</v>
      </c>
      <c r="E11" s="14">
        <v>79.160000000001844</v>
      </c>
    </row>
    <row r="12" spans="1:5">
      <c r="A12" s="141" t="s">
        <v>238</v>
      </c>
      <c r="B12" s="14">
        <v>10322157</v>
      </c>
      <c r="C12" s="14">
        <v>206443.14</v>
      </c>
      <c r="D12" s="14">
        <v>207844</v>
      </c>
      <c r="E12" s="14">
        <v>-1400.8599999999956</v>
      </c>
    </row>
    <row r="13" spans="1:5">
      <c r="A13" s="146" t="s">
        <v>247</v>
      </c>
      <c r="B13" s="147">
        <v>98000</v>
      </c>
      <c r="C13" s="147">
        <v>1960</v>
      </c>
      <c r="D13" s="147">
        <v>2234</v>
      </c>
      <c r="E13" s="147">
        <v>-274</v>
      </c>
    </row>
    <row r="14" spans="1:5">
      <c r="A14" s="143" t="s">
        <v>242</v>
      </c>
      <c r="B14" s="112">
        <v>133200</v>
      </c>
      <c r="C14" s="112">
        <v>0</v>
      </c>
      <c r="D14" s="112"/>
      <c r="E14" s="112">
        <v>0</v>
      </c>
    </row>
    <row r="15" spans="1:5">
      <c r="A15" s="143" t="s">
        <v>248</v>
      </c>
      <c r="B15" s="112">
        <v>21675</v>
      </c>
      <c r="C15" s="112">
        <v>433.5</v>
      </c>
      <c r="D15" s="112">
        <v>434</v>
      </c>
      <c r="E15" s="112">
        <v>-0.5</v>
      </c>
    </row>
    <row r="16" spans="1:5">
      <c r="A16" s="141" t="s">
        <v>240</v>
      </c>
      <c r="B16" s="14">
        <v>226000</v>
      </c>
      <c r="C16" s="14">
        <v>4520</v>
      </c>
      <c r="D16" s="14">
        <v>4520</v>
      </c>
      <c r="E16" s="14">
        <v>0</v>
      </c>
    </row>
    <row r="17" spans="1:5">
      <c r="A17" s="143" t="s">
        <v>237</v>
      </c>
      <c r="B17" s="112">
        <v>55250</v>
      </c>
      <c r="C17" s="112">
        <v>0</v>
      </c>
      <c r="D17" s="112">
        <v>0</v>
      </c>
      <c r="E17" s="112">
        <v>0</v>
      </c>
    </row>
    <row r="18" spans="1:5">
      <c r="A18" s="143" t="s">
        <v>250</v>
      </c>
      <c r="B18" s="112">
        <v>30600</v>
      </c>
      <c r="C18" s="112">
        <v>612</v>
      </c>
      <c r="D18" s="112">
        <v>612</v>
      </c>
      <c r="E18" s="112">
        <v>0</v>
      </c>
    </row>
    <row r="19" spans="1:5">
      <c r="A19" s="141" t="s">
        <v>235</v>
      </c>
      <c r="B19" s="14">
        <v>180700</v>
      </c>
      <c r="C19" s="14">
        <v>3614</v>
      </c>
      <c r="D19" s="14">
        <v>3900</v>
      </c>
      <c r="E19" s="14">
        <v>-286</v>
      </c>
    </row>
    <row r="20" spans="1:5">
      <c r="A20" s="143" t="s">
        <v>236</v>
      </c>
      <c r="B20" s="112">
        <v>2083160</v>
      </c>
      <c r="C20" s="112">
        <v>0</v>
      </c>
      <c r="D20" s="112">
        <v>0</v>
      </c>
      <c r="E20" s="112">
        <v>0</v>
      </c>
    </row>
    <row r="21" spans="1:5">
      <c r="A21" s="143" t="s">
        <v>239</v>
      </c>
      <c r="B21" s="112">
        <v>155174</v>
      </c>
      <c r="C21" s="112">
        <v>3103.48</v>
      </c>
      <c r="D21" s="112">
        <v>3105</v>
      </c>
      <c r="E21" s="112">
        <v>-1.5199999999999818</v>
      </c>
    </row>
    <row r="22" spans="1:5">
      <c r="A22" s="141" t="s">
        <v>233</v>
      </c>
      <c r="B22" s="14">
        <v>895900</v>
      </c>
      <c r="C22" s="14">
        <v>17918</v>
      </c>
      <c r="D22" s="14">
        <v>21369</v>
      </c>
      <c r="E22" s="14">
        <v>-3451</v>
      </c>
    </row>
    <row r="23" spans="1:5">
      <c r="A23" s="141" t="s">
        <v>232</v>
      </c>
      <c r="B23" s="14">
        <v>2206600</v>
      </c>
      <c r="C23" s="14">
        <v>44132</v>
      </c>
      <c r="D23" s="14">
        <v>45628</v>
      </c>
      <c r="E23" s="14">
        <v>-1496</v>
      </c>
    </row>
    <row r="24" spans="1:5">
      <c r="A24" s="141" t="s">
        <v>231</v>
      </c>
      <c r="B24" s="14">
        <v>22086024</v>
      </c>
      <c r="C24" s="14">
        <v>394418.28</v>
      </c>
      <c r="D24" s="14">
        <v>401850</v>
      </c>
      <c r="E24" s="14">
        <v>-7431.7199999999939</v>
      </c>
    </row>
    <row r="25" spans="1:5">
      <c r="C25" s="14">
        <f>394418/2*100</f>
        <v>19720900</v>
      </c>
    </row>
    <row r="26" spans="1:5">
      <c r="C26" s="14">
        <f>2083160+55250+133200+93500</f>
        <v>2365110</v>
      </c>
    </row>
    <row r="27" spans="1:5">
      <c r="C27" s="14">
        <f>+C25+C26</f>
        <v>22086010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185"/>
  <sheetViews>
    <sheetView topLeftCell="A165" workbookViewId="0">
      <selection activeCell="K181" sqref="K181"/>
    </sheetView>
  </sheetViews>
  <sheetFormatPr defaultRowHeight="15"/>
  <cols>
    <col min="1" max="1" width="9.85546875" style="121" bestFit="1" customWidth="1"/>
    <col min="2" max="2" width="29.42578125" style="124" customWidth="1"/>
    <col min="3" max="4" width="13.28515625" style="124" bestFit="1" customWidth="1"/>
    <col min="5" max="5" width="10.7109375" style="124" hidden="1" customWidth="1"/>
    <col min="6" max="7" width="8.85546875" style="124" hidden="1" customWidth="1"/>
    <col min="8" max="9" width="12.140625" style="124" hidden="1" customWidth="1"/>
    <col min="10" max="10" width="9.7109375" style="124" hidden="1" customWidth="1"/>
    <col min="11" max="11" width="11.28515625" style="124" bestFit="1" customWidth="1"/>
    <col min="12" max="12" width="14.140625" style="124" customWidth="1"/>
    <col min="13" max="13" width="12.7109375" style="124" customWidth="1"/>
    <col min="14" max="14" width="11.85546875" style="124" customWidth="1"/>
    <col min="15" max="16384" width="9.140625" style="121"/>
  </cols>
  <sheetData>
    <row r="1" spans="1:14">
      <c r="A1" s="131"/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4" s="125" customFormat="1" ht="60">
      <c r="A2" s="120" t="s">
        <v>258</v>
      </c>
      <c r="B2" s="126" t="s">
        <v>0</v>
      </c>
      <c r="C2" s="122" t="s">
        <v>257</v>
      </c>
      <c r="D2" s="122" t="s">
        <v>265</v>
      </c>
      <c r="E2" s="122" t="s">
        <v>256</v>
      </c>
      <c r="F2" s="122" t="s">
        <v>255</v>
      </c>
      <c r="G2" s="122" t="s">
        <v>254</v>
      </c>
      <c r="H2" s="122" t="s">
        <v>253</v>
      </c>
      <c r="I2" s="122" t="s">
        <v>252</v>
      </c>
      <c r="J2" s="122" t="s">
        <v>251</v>
      </c>
      <c r="K2" s="127" t="s">
        <v>227</v>
      </c>
      <c r="L2" s="128" t="s">
        <v>228</v>
      </c>
      <c r="M2" s="128" t="s">
        <v>230</v>
      </c>
      <c r="N2" s="128" t="s">
        <v>259</v>
      </c>
    </row>
    <row r="3" spans="1:14">
      <c r="A3" s="132">
        <v>42109</v>
      </c>
      <c r="B3" s="133" t="s">
        <v>250</v>
      </c>
      <c r="C3" s="134">
        <v>34382</v>
      </c>
      <c r="D3" s="134">
        <v>30600</v>
      </c>
      <c r="E3" s="134">
        <v>3672</v>
      </c>
      <c r="F3" s="134">
        <v>73</v>
      </c>
      <c r="G3" s="134">
        <v>37</v>
      </c>
      <c r="H3" s="134"/>
      <c r="I3" s="134"/>
      <c r="J3" s="134"/>
      <c r="K3" s="135">
        <f>+D3*2%</f>
        <v>612</v>
      </c>
      <c r="L3" s="136">
        <v>612</v>
      </c>
      <c r="M3" s="136">
        <f t="shared" ref="M3:M66" si="0">+K3-L3</f>
        <v>0</v>
      </c>
      <c r="N3" s="330">
        <v>7746</v>
      </c>
    </row>
    <row r="4" spans="1:14">
      <c r="A4" s="132">
        <v>42109</v>
      </c>
      <c r="B4" s="133" t="s">
        <v>236</v>
      </c>
      <c r="C4" s="134">
        <v>82518</v>
      </c>
      <c r="D4" s="134">
        <v>73440</v>
      </c>
      <c r="E4" s="134">
        <v>8813</v>
      </c>
      <c r="F4" s="134">
        <v>177</v>
      </c>
      <c r="G4" s="134">
        <v>88</v>
      </c>
      <c r="H4" s="134"/>
      <c r="I4" s="134"/>
      <c r="J4" s="134"/>
      <c r="K4" s="135">
        <v>0</v>
      </c>
      <c r="L4" s="136"/>
      <c r="M4" s="136">
        <f t="shared" si="0"/>
        <v>0</v>
      </c>
      <c r="N4" s="331"/>
    </row>
    <row r="5" spans="1:14">
      <c r="A5" s="132">
        <v>42109</v>
      </c>
      <c r="B5" s="133" t="s">
        <v>249</v>
      </c>
      <c r="C5" s="134">
        <v>57303</v>
      </c>
      <c r="D5" s="134">
        <v>51000</v>
      </c>
      <c r="E5" s="134">
        <v>6120</v>
      </c>
      <c r="F5" s="134">
        <v>122</v>
      </c>
      <c r="G5" s="134">
        <v>61</v>
      </c>
      <c r="H5" s="134"/>
      <c r="I5" s="134"/>
      <c r="J5" s="134"/>
      <c r="K5" s="135">
        <f t="shared" ref="K5:K64" si="1">+D5*2%</f>
        <v>1020</v>
      </c>
      <c r="L5" s="136">
        <v>1020</v>
      </c>
      <c r="M5" s="136">
        <f t="shared" si="0"/>
        <v>0</v>
      </c>
      <c r="N5" s="331"/>
    </row>
    <row r="6" spans="1:14">
      <c r="A6" s="132">
        <v>42109</v>
      </c>
      <c r="B6" s="133" t="s">
        <v>243</v>
      </c>
      <c r="C6" s="134">
        <v>84045</v>
      </c>
      <c r="D6" s="134">
        <v>74800</v>
      </c>
      <c r="E6" s="134">
        <v>8976</v>
      </c>
      <c r="F6" s="134">
        <v>180</v>
      </c>
      <c r="G6" s="134">
        <v>89</v>
      </c>
      <c r="H6" s="134"/>
      <c r="I6" s="134"/>
      <c r="J6" s="134"/>
      <c r="K6" s="135">
        <f t="shared" si="1"/>
        <v>1496</v>
      </c>
      <c r="L6" s="136">
        <v>1496</v>
      </c>
      <c r="M6" s="136">
        <f t="shared" si="0"/>
        <v>0</v>
      </c>
      <c r="N6" s="331"/>
    </row>
    <row r="7" spans="1:14">
      <c r="A7" s="132">
        <v>42109</v>
      </c>
      <c r="B7" s="133" t="s">
        <v>243</v>
      </c>
      <c r="C7" s="134">
        <v>42023</v>
      </c>
      <c r="D7" s="134">
        <v>37400</v>
      </c>
      <c r="E7" s="134">
        <v>4488</v>
      </c>
      <c r="F7" s="134">
        <v>90</v>
      </c>
      <c r="G7" s="134">
        <v>45</v>
      </c>
      <c r="H7" s="134"/>
      <c r="I7" s="134"/>
      <c r="J7" s="134"/>
      <c r="K7" s="135">
        <f t="shared" si="1"/>
        <v>748</v>
      </c>
      <c r="L7" s="136">
        <v>748</v>
      </c>
      <c r="M7" s="136">
        <f t="shared" si="0"/>
        <v>0</v>
      </c>
      <c r="N7" s="331"/>
    </row>
    <row r="8" spans="1:14">
      <c r="A8" s="132">
        <v>42109</v>
      </c>
      <c r="B8" s="133" t="s">
        <v>243</v>
      </c>
      <c r="C8" s="134">
        <v>42023</v>
      </c>
      <c r="D8" s="134">
        <v>37400</v>
      </c>
      <c r="E8" s="134">
        <v>4488</v>
      </c>
      <c r="F8" s="134">
        <v>90</v>
      </c>
      <c r="G8" s="134">
        <v>45</v>
      </c>
      <c r="H8" s="134"/>
      <c r="I8" s="134"/>
      <c r="J8" s="134"/>
      <c r="K8" s="135">
        <f t="shared" si="1"/>
        <v>748</v>
      </c>
      <c r="L8" s="136">
        <v>748</v>
      </c>
      <c r="M8" s="136">
        <f t="shared" si="0"/>
        <v>0</v>
      </c>
      <c r="N8" s="331"/>
    </row>
    <row r="9" spans="1:14">
      <c r="A9" s="132">
        <v>42109</v>
      </c>
      <c r="B9" s="133" t="s">
        <v>243</v>
      </c>
      <c r="C9" s="134">
        <v>15280</v>
      </c>
      <c r="D9" s="134">
        <v>13600</v>
      </c>
      <c r="E9" s="134">
        <v>1632</v>
      </c>
      <c r="F9" s="134">
        <v>33</v>
      </c>
      <c r="G9" s="134">
        <v>15</v>
      </c>
      <c r="H9" s="134"/>
      <c r="I9" s="134"/>
      <c r="J9" s="134"/>
      <c r="K9" s="135">
        <f t="shared" si="1"/>
        <v>272</v>
      </c>
      <c r="L9" s="136">
        <v>272</v>
      </c>
      <c r="M9" s="136">
        <f t="shared" si="0"/>
        <v>0</v>
      </c>
      <c r="N9" s="331"/>
    </row>
    <row r="10" spans="1:14">
      <c r="A10" s="132">
        <v>42109</v>
      </c>
      <c r="B10" s="133" t="s">
        <v>249</v>
      </c>
      <c r="C10" s="134">
        <v>22921</v>
      </c>
      <c r="D10" s="134">
        <v>20400</v>
      </c>
      <c r="E10" s="134">
        <v>2448</v>
      </c>
      <c r="F10" s="134">
        <v>49</v>
      </c>
      <c r="G10" s="134">
        <v>24</v>
      </c>
      <c r="H10" s="134"/>
      <c r="I10" s="134"/>
      <c r="J10" s="134"/>
      <c r="K10" s="135">
        <f t="shared" si="1"/>
        <v>408</v>
      </c>
      <c r="L10" s="136">
        <v>408</v>
      </c>
      <c r="M10" s="136">
        <f t="shared" si="0"/>
        <v>0</v>
      </c>
      <c r="N10" s="331"/>
    </row>
    <row r="11" spans="1:14">
      <c r="A11" s="132">
        <v>42124</v>
      </c>
      <c r="B11" s="133" t="s">
        <v>248</v>
      </c>
      <c r="C11" s="134">
        <v>24354</v>
      </c>
      <c r="D11" s="134">
        <v>21675</v>
      </c>
      <c r="E11" s="134">
        <v>2601</v>
      </c>
      <c r="F11" s="134">
        <v>52</v>
      </c>
      <c r="G11" s="134">
        <v>26</v>
      </c>
      <c r="H11" s="134"/>
      <c r="I11" s="134"/>
      <c r="J11" s="134"/>
      <c r="K11" s="135">
        <f t="shared" si="1"/>
        <v>433.5</v>
      </c>
      <c r="L11" s="136">
        <v>434</v>
      </c>
      <c r="M11" s="136">
        <f t="shared" si="0"/>
        <v>-0.5</v>
      </c>
      <c r="N11" s="331"/>
    </row>
    <row r="12" spans="1:14">
      <c r="A12" s="132">
        <v>42124</v>
      </c>
      <c r="B12" s="133" t="s">
        <v>236</v>
      </c>
      <c r="C12" s="134">
        <v>136766</v>
      </c>
      <c r="D12" s="134">
        <v>121720</v>
      </c>
      <c r="E12" s="134">
        <v>14606</v>
      </c>
      <c r="F12" s="134">
        <v>293</v>
      </c>
      <c r="G12" s="134">
        <v>147</v>
      </c>
      <c r="H12" s="134"/>
      <c r="I12" s="134"/>
      <c r="J12" s="134"/>
      <c r="K12" s="135">
        <v>0</v>
      </c>
      <c r="L12" s="136"/>
      <c r="M12" s="136">
        <f t="shared" si="0"/>
        <v>0</v>
      </c>
      <c r="N12" s="331"/>
    </row>
    <row r="13" spans="1:14">
      <c r="A13" s="132">
        <v>42124</v>
      </c>
      <c r="B13" s="133" t="s">
        <v>236</v>
      </c>
      <c r="C13" s="134">
        <v>764</v>
      </c>
      <c r="D13" s="134">
        <v>680</v>
      </c>
      <c r="E13" s="134">
        <v>82</v>
      </c>
      <c r="F13" s="134">
        <v>1</v>
      </c>
      <c r="G13" s="134">
        <v>1</v>
      </c>
      <c r="H13" s="134"/>
      <c r="I13" s="134"/>
      <c r="J13" s="134"/>
      <c r="K13" s="135">
        <v>0</v>
      </c>
      <c r="L13" s="136"/>
      <c r="M13" s="136">
        <f t="shared" si="0"/>
        <v>0</v>
      </c>
      <c r="N13" s="331"/>
    </row>
    <row r="14" spans="1:14">
      <c r="A14" s="132">
        <v>42124</v>
      </c>
      <c r="B14" s="133" t="s">
        <v>238</v>
      </c>
      <c r="C14" s="134">
        <v>51573</v>
      </c>
      <c r="D14" s="134">
        <v>45900</v>
      </c>
      <c r="E14" s="134">
        <v>5508</v>
      </c>
      <c r="F14" s="134">
        <v>110</v>
      </c>
      <c r="G14" s="134">
        <v>55</v>
      </c>
      <c r="H14" s="134"/>
      <c r="I14" s="134"/>
      <c r="J14" s="134"/>
      <c r="K14" s="135">
        <f t="shared" si="1"/>
        <v>918</v>
      </c>
      <c r="L14" s="136">
        <v>918</v>
      </c>
      <c r="M14" s="136">
        <f t="shared" si="0"/>
        <v>0</v>
      </c>
      <c r="N14" s="331"/>
    </row>
    <row r="15" spans="1:14">
      <c r="A15" s="132">
        <v>42124</v>
      </c>
      <c r="B15" s="133" t="s">
        <v>243</v>
      </c>
      <c r="C15" s="134">
        <v>11460</v>
      </c>
      <c r="D15" s="134">
        <v>10200</v>
      </c>
      <c r="E15" s="134">
        <v>1224</v>
      </c>
      <c r="F15" s="134">
        <v>24</v>
      </c>
      <c r="G15" s="134">
        <v>12</v>
      </c>
      <c r="H15" s="134"/>
      <c r="I15" s="134"/>
      <c r="J15" s="134"/>
      <c r="K15" s="135">
        <f t="shared" si="1"/>
        <v>204</v>
      </c>
      <c r="L15" s="136">
        <v>204</v>
      </c>
      <c r="M15" s="136">
        <f t="shared" si="0"/>
        <v>0</v>
      </c>
      <c r="N15" s="331"/>
    </row>
    <row r="16" spans="1:14">
      <c r="A16" s="132">
        <v>42124</v>
      </c>
      <c r="B16" s="133" t="s">
        <v>243</v>
      </c>
      <c r="C16" s="134">
        <v>11460</v>
      </c>
      <c r="D16" s="134">
        <v>10200</v>
      </c>
      <c r="E16" s="134">
        <v>1224</v>
      </c>
      <c r="F16" s="134">
        <v>24</v>
      </c>
      <c r="G16" s="134">
        <v>12</v>
      </c>
      <c r="H16" s="134"/>
      <c r="I16" s="134"/>
      <c r="J16" s="134"/>
      <c r="K16" s="135">
        <f t="shared" si="1"/>
        <v>204</v>
      </c>
      <c r="L16" s="136">
        <v>204</v>
      </c>
      <c r="M16" s="136">
        <f t="shared" si="0"/>
        <v>0</v>
      </c>
      <c r="N16" s="331"/>
    </row>
    <row r="17" spans="1:14">
      <c r="A17" s="132">
        <v>42124</v>
      </c>
      <c r="B17" s="133" t="s">
        <v>243</v>
      </c>
      <c r="C17" s="134">
        <v>7640</v>
      </c>
      <c r="D17" s="134">
        <v>6800</v>
      </c>
      <c r="E17" s="134">
        <v>816</v>
      </c>
      <c r="F17" s="134">
        <v>16</v>
      </c>
      <c r="G17" s="134">
        <v>8</v>
      </c>
      <c r="H17" s="134"/>
      <c r="I17" s="134"/>
      <c r="J17" s="134"/>
      <c r="K17" s="135">
        <f t="shared" si="1"/>
        <v>136</v>
      </c>
      <c r="L17" s="136">
        <v>136</v>
      </c>
      <c r="M17" s="136">
        <f t="shared" si="0"/>
        <v>0</v>
      </c>
      <c r="N17" s="331"/>
    </row>
    <row r="18" spans="1:14">
      <c r="A18" s="132">
        <v>42124</v>
      </c>
      <c r="B18" s="133" t="s">
        <v>243</v>
      </c>
      <c r="C18" s="134">
        <v>15281</v>
      </c>
      <c r="D18" s="134">
        <v>13600</v>
      </c>
      <c r="E18" s="134">
        <v>1632</v>
      </c>
      <c r="F18" s="134">
        <v>33</v>
      </c>
      <c r="G18" s="134">
        <v>16</v>
      </c>
      <c r="H18" s="134"/>
      <c r="I18" s="134"/>
      <c r="J18" s="134"/>
      <c r="K18" s="135">
        <f t="shared" si="1"/>
        <v>272</v>
      </c>
      <c r="L18" s="136">
        <v>272</v>
      </c>
      <c r="M18" s="136">
        <f t="shared" si="0"/>
        <v>0</v>
      </c>
      <c r="N18" s="331"/>
    </row>
    <row r="19" spans="1:14">
      <c r="A19" s="132">
        <v>42124</v>
      </c>
      <c r="B19" s="133" t="s">
        <v>243</v>
      </c>
      <c r="C19" s="134">
        <v>15281</v>
      </c>
      <c r="D19" s="134">
        <v>13600</v>
      </c>
      <c r="E19" s="134">
        <v>1632</v>
      </c>
      <c r="F19" s="134">
        <v>33</v>
      </c>
      <c r="G19" s="134">
        <v>16</v>
      </c>
      <c r="H19" s="134"/>
      <c r="I19" s="134"/>
      <c r="J19" s="134"/>
      <c r="K19" s="135">
        <f t="shared" si="1"/>
        <v>272</v>
      </c>
      <c r="L19" s="136">
        <v>272</v>
      </c>
      <c r="M19" s="136">
        <f t="shared" si="0"/>
        <v>0</v>
      </c>
      <c r="N19" s="331"/>
    </row>
    <row r="20" spans="1:14">
      <c r="A20" s="132">
        <v>42124</v>
      </c>
      <c r="B20" s="133" t="s">
        <v>243</v>
      </c>
      <c r="C20" s="134">
        <v>7640</v>
      </c>
      <c r="D20" s="134">
        <v>6800</v>
      </c>
      <c r="E20" s="134">
        <v>816</v>
      </c>
      <c r="F20" s="134">
        <v>16</v>
      </c>
      <c r="G20" s="134">
        <v>8</v>
      </c>
      <c r="H20" s="134"/>
      <c r="I20" s="134"/>
      <c r="J20" s="134"/>
      <c r="K20" s="135">
        <f t="shared" si="1"/>
        <v>136</v>
      </c>
      <c r="L20" s="136">
        <v>136</v>
      </c>
      <c r="M20" s="136">
        <f t="shared" si="0"/>
        <v>0</v>
      </c>
      <c r="N20" s="331"/>
    </row>
    <row r="21" spans="1:14">
      <c r="A21" s="132">
        <v>42124</v>
      </c>
      <c r="B21" s="133" t="s">
        <v>243</v>
      </c>
      <c r="C21" s="134">
        <v>7640</v>
      </c>
      <c r="D21" s="134">
        <v>6800</v>
      </c>
      <c r="E21" s="134">
        <v>816</v>
      </c>
      <c r="F21" s="134">
        <v>16</v>
      </c>
      <c r="G21" s="134">
        <v>8</v>
      </c>
      <c r="H21" s="134"/>
      <c r="I21" s="134"/>
      <c r="J21" s="134"/>
      <c r="K21" s="135">
        <f t="shared" si="1"/>
        <v>136</v>
      </c>
      <c r="L21" s="136">
        <v>136</v>
      </c>
      <c r="M21" s="136">
        <f t="shared" si="0"/>
        <v>0</v>
      </c>
      <c r="N21" s="331"/>
    </row>
    <row r="22" spans="1:14">
      <c r="A22" s="132">
        <v>42124</v>
      </c>
      <c r="B22" s="133" t="s">
        <v>243</v>
      </c>
      <c r="C22" s="134">
        <v>15281</v>
      </c>
      <c r="D22" s="134">
        <v>13600</v>
      </c>
      <c r="E22" s="134">
        <v>1632</v>
      </c>
      <c r="F22" s="134">
        <v>33</v>
      </c>
      <c r="G22" s="134">
        <v>16</v>
      </c>
      <c r="H22" s="134"/>
      <c r="I22" s="134"/>
      <c r="J22" s="134"/>
      <c r="K22" s="135">
        <f t="shared" si="1"/>
        <v>272</v>
      </c>
      <c r="L22" s="136">
        <v>272</v>
      </c>
      <c r="M22" s="136">
        <f t="shared" si="0"/>
        <v>0</v>
      </c>
      <c r="N22" s="331"/>
    </row>
    <row r="23" spans="1:14">
      <c r="A23" s="132">
        <v>42124</v>
      </c>
      <c r="B23" s="133" t="s">
        <v>243</v>
      </c>
      <c r="C23" s="134">
        <v>15281</v>
      </c>
      <c r="D23" s="134">
        <v>13600</v>
      </c>
      <c r="E23" s="134">
        <v>1632</v>
      </c>
      <c r="F23" s="134">
        <v>33</v>
      </c>
      <c r="G23" s="134">
        <v>16</v>
      </c>
      <c r="H23" s="134"/>
      <c r="I23" s="134"/>
      <c r="J23" s="134"/>
      <c r="K23" s="135">
        <f t="shared" si="1"/>
        <v>272</v>
      </c>
      <c r="L23" s="136">
        <v>272</v>
      </c>
      <c r="M23" s="136">
        <f t="shared" si="0"/>
        <v>0</v>
      </c>
      <c r="N23" s="331"/>
    </row>
    <row r="24" spans="1:14">
      <c r="A24" s="132">
        <v>42124</v>
      </c>
      <c r="B24" s="133" t="s">
        <v>243</v>
      </c>
      <c r="C24" s="134">
        <v>19101</v>
      </c>
      <c r="D24" s="134">
        <v>17000</v>
      </c>
      <c r="E24" s="134">
        <v>2040</v>
      </c>
      <c r="F24" s="134">
        <v>41</v>
      </c>
      <c r="G24" s="134">
        <v>20</v>
      </c>
      <c r="H24" s="134"/>
      <c r="I24" s="134"/>
      <c r="J24" s="134"/>
      <c r="K24" s="135">
        <f t="shared" si="1"/>
        <v>340</v>
      </c>
      <c r="L24" s="136">
        <v>340</v>
      </c>
      <c r="M24" s="136">
        <f t="shared" si="0"/>
        <v>0</v>
      </c>
      <c r="N24" s="331"/>
    </row>
    <row r="25" spans="1:14">
      <c r="A25" s="132">
        <v>42124</v>
      </c>
      <c r="B25" s="133" t="s">
        <v>243</v>
      </c>
      <c r="C25" s="134">
        <v>22921</v>
      </c>
      <c r="D25" s="134">
        <v>20400</v>
      </c>
      <c r="E25" s="134">
        <v>2448</v>
      </c>
      <c r="F25" s="134">
        <v>49</v>
      </c>
      <c r="G25" s="134">
        <v>24</v>
      </c>
      <c r="H25" s="134"/>
      <c r="I25" s="134"/>
      <c r="J25" s="134"/>
      <c r="K25" s="135">
        <f t="shared" si="1"/>
        <v>408</v>
      </c>
      <c r="L25" s="136">
        <v>408</v>
      </c>
      <c r="M25" s="136">
        <f t="shared" si="0"/>
        <v>0</v>
      </c>
      <c r="N25" s="331"/>
    </row>
    <row r="26" spans="1:14">
      <c r="A26" s="132">
        <v>42124</v>
      </c>
      <c r="B26" s="133" t="s">
        <v>243</v>
      </c>
      <c r="C26" s="134">
        <v>19101</v>
      </c>
      <c r="D26" s="134">
        <v>17000</v>
      </c>
      <c r="E26" s="134">
        <v>2040</v>
      </c>
      <c r="F26" s="134">
        <v>41</v>
      </c>
      <c r="G26" s="134">
        <v>20</v>
      </c>
      <c r="H26" s="134"/>
      <c r="I26" s="134"/>
      <c r="J26" s="134"/>
      <c r="K26" s="135">
        <f t="shared" si="1"/>
        <v>340</v>
      </c>
      <c r="L26" s="136">
        <v>340</v>
      </c>
      <c r="M26" s="136">
        <f t="shared" si="0"/>
        <v>0</v>
      </c>
      <c r="N26" s="331"/>
    </row>
    <row r="27" spans="1:14">
      <c r="A27" s="132">
        <v>42124</v>
      </c>
      <c r="B27" s="133" t="s">
        <v>243</v>
      </c>
      <c r="C27" s="134">
        <v>26742</v>
      </c>
      <c r="D27" s="134">
        <v>23800</v>
      </c>
      <c r="E27" s="134">
        <v>2856</v>
      </c>
      <c r="F27" s="134">
        <v>57</v>
      </c>
      <c r="G27" s="134">
        <v>29</v>
      </c>
      <c r="H27" s="134"/>
      <c r="I27" s="134"/>
      <c r="J27" s="134"/>
      <c r="K27" s="135">
        <f t="shared" si="1"/>
        <v>476</v>
      </c>
      <c r="L27" s="136">
        <v>476</v>
      </c>
      <c r="M27" s="136">
        <f t="shared" si="0"/>
        <v>0</v>
      </c>
      <c r="N27" s="331"/>
    </row>
    <row r="28" spans="1:14">
      <c r="A28" s="132">
        <v>42124</v>
      </c>
      <c r="B28" s="133" t="s">
        <v>243</v>
      </c>
      <c r="C28" s="134">
        <v>19101</v>
      </c>
      <c r="D28" s="134">
        <v>17000</v>
      </c>
      <c r="E28" s="134">
        <v>2040</v>
      </c>
      <c r="F28" s="134">
        <v>41</v>
      </c>
      <c r="G28" s="134">
        <v>20</v>
      </c>
      <c r="H28" s="134"/>
      <c r="I28" s="134"/>
      <c r="J28" s="134"/>
      <c r="K28" s="135">
        <f t="shared" si="1"/>
        <v>340</v>
      </c>
      <c r="L28" s="136">
        <v>340</v>
      </c>
      <c r="M28" s="136">
        <f t="shared" si="0"/>
        <v>0</v>
      </c>
      <c r="N28" s="331"/>
    </row>
    <row r="29" spans="1:14">
      <c r="A29" s="132">
        <v>42124</v>
      </c>
      <c r="B29" s="133" t="s">
        <v>238</v>
      </c>
      <c r="C29" s="134">
        <v>24068</v>
      </c>
      <c r="D29" s="134">
        <v>21420</v>
      </c>
      <c r="E29" s="134">
        <v>2570</v>
      </c>
      <c r="F29" s="134">
        <v>51</v>
      </c>
      <c r="G29" s="134">
        <v>27</v>
      </c>
      <c r="H29" s="134"/>
      <c r="I29" s="134"/>
      <c r="J29" s="134"/>
      <c r="K29" s="135">
        <f t="shared" si="1"/>
        <v>428.40000000000003</v>
      </c>
      <c r="L29" s="136">
        <v>428</v>
      </c>
      <c r="M29" s="136">
        <f t="shared" si="0"/>
        <v>0.40000000000003411</v>
      </c>
      <c r="N29" s="331"/>
    </row>
    <row r="30" spans="1:14">
      <c r="A30" s="132">
        <v>42139</v>
      </c>
      <c r="B30" s="133" t="s">
        <v>236</v>
      </c>
      <c r="C30" s="134">
        <v>9551</v>
      </c>
      <c r="D30" s="134">
        <v>8500</v>
      </c>
      <c r="E30" s="134">
        <v>1020</v>
      </c>
      <c r="F30" s="134">
        <v>20</v>
      </c>
      <c r="G30" s="134">
        <v>11</v>
      </c>
      <c r="H30" s="134"/>
      <c r="I30" s="134"/>
      <c r="J30" s="134"/>
      <c r="K30" s="135">
        <v>0</v>
      </c>
      <c r="L30" s="136">
        <v>0</v>
      </c>
      <c r="M30" s="136">
        <f t="shared" si="0"/>
        <v>0</v>
      </c>
      <c r="N30" s="331">
        <v>36529</v>
      </c>
    </row>
    <row r="31" spans="1:14">
      <c r="A31" s="132">
        <v>42139</v>
      </c>
      <c r="B31" s="133" t="s">
        <v>243</v>
      </c>
      <c r="C31" s="134">
        <v>168091</v>
      </c>
      <c r="D31" s="134">
        <v>149600</v>
      </c>
      <c r="E31" s="134">
        <v>17952</v>
      </c>
      <c r="F31" s="134">
        <v>359</v>
      </c>
      <c r="G31" s="134">
        <v>180</v>
      </c>
      <c r="H31" s="134"/>
      <c r="I31" s="134"/>
      <c r="J31" s="134"/>
      <c r="K31" s="135">
        <f t="shared" si="1"/>
        <v>2992</v>
      </c>
      <c r="L31" s="136">
        <v>2992</v>
      </c>
      <c r="M31" s="136">
        <f t="shared" si="0"/>
        <v>0</v>
      </c>
      <c r="N31" s="331"/>
    </row>
    <row r="32" spans="1:14">
      <c r="A32" s="132">
        <v>42154</v>
      </c>
      <c r="B32" s="133" t="s">
        <v>238</v>
      </c>
      <c r="C32" s="134">
        <v>724954</v>
      </c>
      <c r="D32" s="134">
        <v>645206</v>
      </c>
      <c r="E32" s="134">
        <v>77425</v>
      </c>
      <c r="F32" s="134">
        <v>1549</v>
      </c>
      <c r="G32" s="134">
        <v>774</v>
      </c>
      <c r="H32" s="134"/>
      <c r="I32" s="134"/>
      <c r="J32" s="134"/>
      <c r="K32" s="135">
        <f t="shared" si="1"/>
        <v>12904.12</v>
      </c>
      <c r="L32" s="136">
        <v>12904</v>
      </c>
      <c r="M32" s="136">
        <f t="shared" si="0"/>
        <v>0.12000000000080036</v>
      </c>
      <c r="N32" s="331"/>
    </row>
    <row r="33" spans="1:14">
      <c r="A33" s="132">
        <v>42154</v>
      </c>
      <c r="B33" s="133" t="s">
        <v>238</v>
      </c>
      <c r="C33" s="134">
        <v>161214</v>
      </c>
      <c r="D33" s="134">
        <v>143480</v>
      </c>
      <c r="E33" s="134">
        <v>17218</v>
      </c>
      <c r="F33" s="134">
        <v>344</v>
      </c>
      <c r="G33" s="134">
        <v>172</v>
      </c>
      <c r="H33" s="134"/>
      <c r="I33" s="134"/>
      <c r="J33" s="134"/>
      <c r="K33" s="135">
        <f t="shared" si="1"/>
        <v>2869.6</v>
      </c>
      <c r="L33" s="136">
        <v>2870</v>
      </c>
      <c r="M33" s="136">
        <f t="shared" si="0"/>
        <v>-0.40000000000009095</v>
      </c>
      <c r="N33" s="331"/>
    </row>
    <row r="34" spans="1:14">
      <c r="A34" s="132">
        <v>42154</v>
      </c>
      <c r="B34" s="133" t="s">
        <v>238</v>
      </c>
      <c r="C34" s="134">
        <v>206938</v>
      </c>
      <c r="D34" s="134">
        <v>184174</v>
      </c>
      <c r="E34" s="134">
        <v>22101</v>
      </c>
      <c r="F34" s="134">
        <v>442</v>
      </c>
      <c r="G34" s="134">
        <v>221</v>
      </c>
      <c r="H34" s="134"/>
      <c r="I34" s="134"/>
      <c r="J34" s="134"/>
      <c r="K34" s="135">
        <f t="shared" si="1"/>
        <v>3683.48</v>
      </c>
      <c r="L34" s="136">
        <v>3683</v>
      </c>
      <c r="M34" s="136">
        <f t="shared" si="0"/>
        <v>0.48000000000001819</v>
      </c>
      <c r="N34" s="331"/>
    </row>
    <row r="35" spans="1:14">
      <c r="A35" s="132">
        <v>42154</v>
      </c>
      <c r="B35" s="133" t="s">
        <v>238</v>
      </c>
      <c r="C35" s="134">
        <v>153459</v>
      </c>
      <c r="D35" s="134">
        <v>136578</v>
      </c>
      <c r="E35" s="134">
        <v>16389</v>
      </c>
      <c r="F35" s="134">
        <v>328</v>
      </c>
      <c r="G35" s="134">
        <v>164</v>
      </c>
      <c r="H35" s="134"/>
      <c r="I35" s="134"/>
      <c r="J35" s="134"/>
      <c r="K35" s="135">
        <f t="shared" si="1"/>
        <v>2731.56</v>
      </c>
      <c r="L35" s="136">
        <v>2732</v>
      </c>
      <c r="M35" s="136">
        <f t="shared" si="0"/>
        <v>-0.44000000000005457</v>
      </c>
      <c r="N35" s="331"/>
    </row>
    <row r="36" spans="1:14">
      <c r="A36" s="132">
        <v>42154</v>
      </c>
      <c r="B36" s="133" t="s">
        <v>238</v>
      </c>
      <c r="C36" s="134">
        <v>323631</v>
      </c>
      <c r="D36" s="134">
        <v>288031</v>
      </c>
      <c r="E36" s="134">
        <v>34564</v>
      </c>
      <c r="F36" s="134">
        <v>691</v>
      </c>
      <c r="G36" s="134">
        <v>345</v>
      </c>
      <c r="H36" s="134"/>
      <c r="I36" s="134"/>
      <c r="J36" s="134"/>
      <c r="K36" s="135">
        <f t="shared" si="1"/>
        <v>5760.62</v>
      </c>
      <c r="L36" s="136">
        <v>5761</v>
      </c>
      <c r="M36" s="136">
        <f t="shared" si="0"/>
        <v>-0.38000000000010914</v>
      </c>
      <c r="N36" s="331"/>
    </row>
    <row r="37" spans="1:14">
      <c r="A37" s="132">
        <v>42154</v>
      </c>
      <c r="B37" s="133" t="s">
        <v>238</v>
      </c>
      <c r="C37" s="134">
        <v>20114</v>
      </c>
      <c r="D37" s="134">
        <v>17901</v>
      </c>
      <c r="E37" s="134">
        <v>2148</v>
      </c>
      <c r="F37" s="134">
        <v>43</v>
      </c>
      <c r="G37" s="134">
        <v>22</v>
      </c>
      <c r="H37" s="134"/>
      <c r="I37" s="134"/>
      <c r="J37" s="134"/>
      <c r="K37" s="135">
        <f t="shared" si="1"/>
        <v>358.02</v>
      </c>
      <c r="L37" s="136">
        <v>358</v>
      </c>
      <c r="M37" s="136">
        <f t="shared" si="0"/>
        <v>1.999999999998181E-2</v>
      </c>
      <c r="N37" s="331"/>
    </row>
    <row r="38" spans="1:14">
      <c r="A38" s="132">
        <v>42154</v>
      </c>
      <c r="B38" s="133" t="s">
        <v>238</v>
      </c>
      <c r="C38" s="134">
        <v>64180</v>
      </c>
      <c r="D38" s="134">
        <v>57120</v>
      </c>
      <c r="E38" s="134">
        <v>6854</v>
      </c>
      <c r="F38" s="134">
        <v>137</v>
      </c>
      <c r="G38" s="134">
        <v>69</v>
      </c>
      <c r="H38" s="134"/>
      <c r="I38" s="134"/>
      <c r="J38" s="134"/>
      <c r="K38" s="135">
        <f t="shared" si="1"/>
        <v>1142.4000000000001</v>
      </c>
      <c r="L38" s="136">
        <v>1142</v>
      </c>
      <c r="M38" s="136">
        <f t="shared" si="0"/>
        <v>0.40000000000009095</v>
      </c>
      <c r="N38" s="331"/>
    </row>
    <row r="39" spans="1:14">
      <c r="A39" s="132">
        <v>42154</v>
      </c>
      <c r="B39" s="133" t="s">
        <v>238</v>
      </c>
      <c r="C39" s="134">
        <v>34454</v>
      </c>
      <c r="D39" s="134">
        <v>30664</v>
      </c>
      <c r="E39" s="134">
        <v>3680</v>
      </c>
      <c r="F39" s="134">
        <v>74</v>
      </c>
      <c r="G39" s="134">
        <v>36</v>
      </c>
      <c r="H39" s="134"/>
      <c r="I39" s="134"/>
      <c r="J39" s="134"/>
      <c r="K39" s="135">
        <f t="shared" si="1"/>
        <v>613.28</v>
      </c>
      <c r="L39" s="136">
        <v>613</v>
      </c>
      <c r="M39" s="136">
        <f t="shared" si="0"/>
        <v>0.27999999999997272</v>
      </c>
      <c r="N39" s="331"/>
    </row>
    <row r="40" spans="1:14">
      <c r="A40" s="132">
        <v>42154</v>
      </c>
      <c r="B40" s="133" t="s">
        <v>238</v>
      </c>
      <c r="C40" s="134">
        <v>314597</v>
      </c>
      <c r="D40" s="134">
        <v>279990</v>
      </c>
      <c r="E40" s="134">
        <v>33599</v>
      </c>
      <c r="F40" s="134">
        <v>672</v>
      </c>
      <c r="G40" s="134">
        <v>336</v>
      </c>
      <c r="H40" s="134"/>
      <c r="I40" s="134"/>
      <c r="J40" s="134"/>
      <c r="K40" s="135">
        <f t="shared" si="1"/>
        <v>5599.8</v>
      </c>
      <c r="L40" s="136">
        <v>5600</v>
      </c>
      <c r="M40" s="136">
        <f t="shared" si="0"/>
        <v>-0.1999999999998181</v>
      </c>
      <c r="N40" s="331"/>
    </row>
    <row r="41" spans="1:14">
      <c r="A41" s="132">
        <v>42154</v>
      </c>
      <c r="B41" s="133" t="s">
        <v>238</v>
      </c>
      <c r="C41" s="134">
        <v>42376</v>
      </c>
      <c r="D41" s="134">
        <v>37715</v>
      </c>
      <c r="E41" s="134">
        <v>4526</v>
      </c>
      <c r="F41" s="134">
        <v>91</v>
      </c>
      <c r="G41" s="134">
        <v>44</v>
      </c>
      <c r="H41" s="134"/>
      <c r="I41" s="134"/>
      <c r="J41" s="134"/>
      <c r="K41" s="135">
        <f t="shared" si="1"/>
        <v>754.30000000000007</v>
      </c>
      <c r="L41" s="136">
        <v>754</v>
      </c>
      <c r="M41" s="136">
        <f t="shared" si="0"/>
        <v>0.30000000000006821</v>
      </c>
      <c r="N41" s="331"/>
    </row>
    <row r="42" spans="1:14">
      <c r="A42" s="132">
        <v>42155</v>
      </c>
      <c r="B42" s="133" t="s">
        <v>243</v>
      </c>
      <c r="C42" s="134">
        <v>5730</v>
      </c>
      <c r="D42" s="134">
        <v>5100</v>
      </c>
      <c r="E42" s="134">
        <v>612</v>
      </c>
      <c r="F42" s="134">
        <v>12</v>
      </c>
      <c r="G42" s="134">
        <v>6</v>
      </c>
      <c r="H42" s="134"/>
      <c r="I42" s="134"/>
      <c r="J42" s="134"/>
      <c r="K42" s="135">
        <f t="shared" si="1"/>
        <v>102</v>
      </c>
      <c r="L42" s="136">
        <v>102</v>
      </c>
      <c r="M42" s="136">
        <f t="shared" si="0"/>
        <v>0</v>
      </c>
      <c r="N42" s="331"/>
    </row>
    <row r="43" spans="1:14">
      <c r="A43" s="132">
        <v>42155</v>
      </c>
      <c r="B43" s="133" t="s">
        <v>243</v>
      </c>
      <c r="C43" s="134">
        <v>3820</v>
      </c>
      <c r="D43" s="134">
        <v>3400</v>
      </c>
      <c r="E43" s="134">
        <v>408</v>
      </c>
      <c r="F43" s="134">
        <v>8</v>
      </c>
      <c r="G43" s="134">
        <v>4</v>
      </c>
      <c r="H43" s="134"/>
      <c r="I43" s="134"/>
      <c r="J43" s="134"/>
      <c r="K43" s="135">
        <f t="shared" si="1"/>
        <v>68</v>
      </c>
      <c r="L43" s="136">
        <v>68</v>
      </c>
      <c r="M43" s="136">
        <f t="shared" si="0"/>
        <v>0</v>
      </c>
      <c r="N43" s="331"/>
    </row>
    <row r="44" spans="1:14">
      <c r="A44" s="132">
        <v>42155</v>
      </c>
      <c r="B44" s="133" t="s">
        <v>243</v>
      </c>
      <c r="C44" s="134">
        <v>7640</v>
      </c>
      <c r="D44" s="134">
        <v>6800</v>
      </c>
      <c r="E44" s="134">
        <v>816</v>
      </c>
      <c r="F44" s="134">
        <v>16</v>
      </c>
      <c r="G44" s="134">
        <v>8</v>
      </c>
      <c r="H44" s="134"/>
      <c r="I44" s="134"/>
      <c r="J44" s="134"/>
      <c r="K44" s="135">
        <f t="shared" si="1"/>
        <v>136</v>
      </c>
      <c r="L44" s="136">
        <v>136</v>
      </c>
      <c r="M44" s="136">
        <f t="shared" si="0"/>
        <v>0</v>
      </c>
      <c r="N44" s="331"/>
    </row>
    <row r="45" spans="1:14">
      <c r="A45" s="132">
        <v>42155</v>
      </c>
      <c r="B45" s="133" t="s">
        <v>243</v>
      </c>
      <c r="C45" s="134">
        <v>5730</v>
      </c>
      <c r="D45" s="134">
        <v>5100</v>
      </c>
      <c r="E45" s="134">
        <v>612</v>
      </c>
      <c r="F45" s="134">
        <v>12</v>
      </c>
      <c r="G45" s="134">
        <v>6</v>
      </c>
      <c r="H45" s="134"/>
      <c r="I45" s="134"/>
      <c r="J45" s="134"/>
      <c r="K45" s="135">
        <f t="shared" si="1"/>
        <v>102</v>
      </c>
      <c r="L45" s="136">
        <v>102</v>
      </c>
      <c r="M45" s="136">
        <f t="shared" si="0"/>
        <v>0</v>
      </c>
      <c r="N45" s="331"/>
    </row>
    <row r="46" spans="1:14">
      <c r="A46" s="132">
        <v>42155</v>
      </c>
      <c r="B46" s="133" t="s">
        <v>243</v>
      </c>
      <c r="C46" s="134">
        <v>7640</v>
      </c>
      <c r="D46" s="134">
        <v>6800</v>
      </c>
      <c r="E46" s="134">
        <v>816</v>
      </c>
      <c r="F46" s="134">
        <v>16</v>
      </c>
      <c r="G46" s="134">
        <v>8</v>
      </c>
      <c r="H46" s="134"/>
      <c r="I46" s="134"/>
      <c r="J46" s="134"/>
      <c r="K46" s="135">
        <f t="shared" si="1"/>
        <v>136</v>
      </c>
      <c r="L46" s="136">
        <v>136</v>
      </c>
      <c r="M46" s="136">
        <f t="shared" si="0"/>
        <v>0</v>
      </c>
      <c r="N46" s="331"/>
    </row>
    <row r="47" spans="1:14">
      <c r="A47" s="132">
        <v>42155</v>
      </c>
      <c r="B47" s="133" t="s">
        <v>243</v>
      </c>
      <c r="C47" s="134">
        <v>1910</v>
      </c>
      <c r="D47" s="134">
        <v>1700</v>
      </c>
      <c r="E47" s="134">
        <v>204</v>
      </c>
      <c r="F47" s="134">
        <v>4</v>
      </c>
      <c r="G47" s="134">
        <v>2</v>
      </c>
      <c r="H47" s="134"/>
      <c r="I47" s="134"/>
      <c r="J47" s="134"/>
      <c r="K47" s="135">
        <f t="shared" si="1"/>
        <v>34</v>
      </c>
      <c r="L47" s="136">
        <v>34</v>
      </c>
      <c r="M47" s="136">
        <f t="shared" si="0"/>
        <v>0</v>
      </c>
      <c r="N47" s="331"/>
    </row>
    <row r="48" spans="1:14">
      <c r="A48" s="132">
        <v>42155</v>
      </c>
      <c r="B48" s="133" t="s">
        <v>243</v>
      </c>
      <c r="C48" s="134">
        <v>15281</v>
      </c>
      <c r="D48" s="134">
        <v>13600</v>
      </c>
      <c r="E48" s="134">
        <v>1632</v>
      </c>
      <c r="F48" s="134">
        <v>33</v>
      </c>
      <c r="G48" s="134">
        <v>16</v>
      </c>
      <c r="H48" s="134"/>
      <c r="I48" s="134"/>
      <c r="J48" s="134"/>
      <c r="K48" s="135">
        <f t="shared" si="1"/>
        <v>272</v>
      </c>
      <c r="L48" s="136">
        <v>272</v>
      </c>
      <c r="M48" s="136">
        <f t="shared" si="0"/>
        <v>0</v>
      </c>
      <c r="N48" s="331"/>
    </row>
    <row r="49" spans="1:14">
      <c r="A49" s="132">
        <v>42155</v>
      </c>
      <c r="B49" s="133" t="s">
        <v>243</v>
      </c>
      <c r="C49" s="134">
        <v>1910</v>
      </c>
      <c r="D49" s="134">
        <v>1700</v>
      </c>
      <c r="E49" s="134">
        <v>204</v>
      </c>
      <c r="F49" s="134">
        <v>4</v>
      </c>
      <c r="G49" s="134">
        <v>2</v>
      </c>
      <c r="H49" s="134"/>
      <c r="I49" s="134"/>
      <c r="J49" s="134"/>
      <c r="K49" s="135">
        <f t="shared" si="1"/>
        <v>34</v>
      </c>
      <c r="L49" s="136">
        <v>34</v>
      </c>
      <c r="M49" s="136">
        <f t="shared" si="0"/>
        <v>0</v>
      </c>
      <c r="N49" s="331"/>
    </row>
    <row r="50" spans="1:14">
      <c r="A50" s="132">
        <v>42155</v>
      </c>
      <c r="B50" s="133" t="s">
        <v>243</v>
      </c>
      <c r="C50" s="134">
        <v>11460</v>
      </c>
      <c r="D50" s="134">
        <v>10200</v>
      </c>
      <c r="E50" s="134">
        <v>1224</v>
      </c>
      <c r="F50" s="134">
        <v>24</v>
      </c>
      <c r="G50" s="134">
        <v>12</v>
      </c>
      <c r="H50" s="134"/>
      <c r="I50" s="134"/>
      <c r="J50" s="134"/>
      <c r="K50" s="135">
        <f t="shared" si="1"/>
        <v>204</v>
      </c>
      <c r="L50" s="136">
        <v>204</v>
      </c>
      <c r="M50" s="136">
        <f t="shared" si="0"/>
        <v>0</v>
      </c>
      <c r="N50" s="331"/>
    </row>
    <row r="51" spans="1:14">
      <c r="A51" s="132">
        <v>42155</v>
      </c>
      <c r="B51" s="133" t="s">
        <v>243</v>
      </c>
      <c r="C51" s="134">
        <v>91686</v>
      </c>
      <c r="D51" s="134">
        <v>81600</v>
      </c>
      <c r="E51" s="134">
        <v>9792</v>
      </c>
      <c r="F51" s="134">
        <v>196</v>
      </c>
      <c r="G51" s="134">
        <v>98</v>
      </c>
      <c r="H51" s="134"/>
      <c r="I51" s="134"/>
      <c r="J51" s="134"/>
      <c r="K51" s="135">
        <f t="shared" si="1"/>
        <v>1632</v>
      </c>
      <c r="L51" s="136">
        <v>1632</v>
      </c>
      <c r="M51" s="136">
        <f t="shared" si="0"/>
        <v>0</v>
      </c>
      <c r="N51" s="331"/>
    </row>
    <row r="52" spans="1:14">
      <c r="A52" s="132">
        <v>42155</v>
      </c>
      <c r="B52" s="133" t="s">
        <v>236</v>
      </c>
      <c r="C52" s="134">
        <v>9932</v>
      </c>
      <c r="D52" s="134">
        <v>8840</v>
      </c>
      <c r="E52" s="134">
        <v>1061</v>
      </c>
      <c r="F52" s="134">
        <v>21</v>
      </c>
      <c r="G52" s="134">
        <v>10</v>
      </c>
      <c r="H52" s="134"/>
      <c r="I52" s="134"/>
      <c r="J52" s="134"/>
      <c r="K52" s="135">
        <v>0</v>
      </c>
      <c r="L52" s="136"/>
      <c r="M52" s="136">
        <f t="shared" si="0"/>
        <v>0</v>
      </c>
      <c r="N52" s="331"/>
    </row>
    <row r="53" spans="1:14">
      <c r="A53" s="132">
        <v>42155</v>
      </c>
      <c r="B53" s="133" t="s">
        <v>236</v>
      </c>
      <c r="C53" s="134">
        <v>96653</v>
      </c>
      <c r="D53" s="134">
        <v>86020</v>
      </c>
      <c r="E53" s="134">
        <v>10332</v>
      </c>
      <c r="F53" s="134">
        <v>207</v>
      </c>
      <c r="G53" s="134">
        <v>94</v>
      </c>
      <c r="H53" s="134"/>
      <c r="I53" s="134"/>
      <c r="J53" s="134"/>
      <c r="K53" s="135">
        <v>0</v>
      </c>
      <c r="L53" s="136"/>
      <c r="M53" s="136">
        <f t="shared" si="0"/>
        <v>0</v>
      </c>
      <c r="N53" s="331"/>
    </row>
    <row r="54" spans="1:14">
      <c r="A54" s="132">
        <v>42170</v>
      </c>
      <c r="B54" s="133" t="s">
        <v>243</v>
      </c>
      <c r="C54" s="134">
        <v>155040</v>
      </c>
      <c r="D54" s="134">
        <v>136000</v>
      </c>
      <c r="E54" s="134"/>
      <c r="F54" s="134"/>
      <c r="G54" s="134"/>
      <c r="H54" s="134">
        <v>19040</v>
      </c>
      <c r="I54" s="134"/>
      <c r="J54" s="134"/>
      <c r="K54" s="135">
        <f t="shared" si="1"/>
        <v>2720</v>
      </c>
      <c r="L54" s="136">
        <v>2720</v>
      </c>
      <c r="M54" s="136">
        <f t="shared" si="0"/>
        <v>0</v>
      </c>
      <c r="N54" s="331">
        <v>14998</v>
      </c>
    </row>
    <row r="55" spans="1:14">
      <c r="A55" s="132">
        <v>42170</v>
      </c>
      <c r="B55" s="133" t="s">
        <v>243</v>
      </c>
      <c r="C55" s="134">
        <v>15504</v>
      </c>
      <c r="D55" s="134">
        <v>13600</v>
      </c>
      <c r="E55" s="134"/>
      <c r="F55" s="134"/>
      <c r="G55" s="134"/>
      <c r="H55" s="134">
        <v>1904</v>
      </c>
      <c r="I55" s="134"/>
      <c r="J55" s="134"/>
      <c r="K55" s="135">
        <f t="shared" si="1"/>
        <v>272</v>
      </c>
      <c r="L55" s="136">
        <v>272</v>
      </c>
      <c r="M55" s="136">
        <f t="shared" si="0"/>
        <v>0</v>
      </c>
      <c r="N55" s="331"/>
    </row>
    <row r="56" spans="1:14">
      <c r="A56" s="132">
        <v>42170</v>
      </c>
      <c r="B56" s="133" t="s">
        <v>236</v>
      </c>
      <c r="C56" s="134">
        <v>151164</v>
      </c>
      <c r="D56" s="134">
        <v>132600</v>
      </c>
      <c r="E56" s="134"/>
      <c r="F56" s="134"/>
      <c r="G56" s="134"/>
      <c r="H56" s="134">
        <v>18564</v>
      </c>
      <c r="I56" s="134"/>
      <c r="J56" s="134"/>
      <c r="K56" s="135">
        <v>0</v>
      </c>
      <c r="L56" s="136"/>
      <c r="M56" s="136">
        <f t="shared" si="0"/>
        <v>0</v>
      </c>
      <c r="N56" s="331"/>
    </row>
    <row r="57" spans="1:14">
      <c r="A57" s="132">
        <v>42185</v>
      </c>
      <c r="B57" s="133" t="s">
        <v>238</v>
      </c>
      <c r="C57" s="134">
        <v>31977</v>
      </c>
      <c r="D57" s="134">
        <v>28050</v>
      </c>
      <c r="E57" s="134"/>
      <c r="F57" s="134"/>
      <c r="G57" s="134"/>
      <c r="H57" s="134">
        <v>3927</v>
      </c>
      <c r="I57" s="134"/>
      <c r="J57" s="134"/>
      <c r="K57" s="135">
        <f t="shared" si="1"/>
        <v>561</v>
      </c>
      <c r="L57" s="136">
        <v>561</v>
      </c>
      <c r="M57" s="136">
        <f t="shared" si="0"/>
        <v>0</v>
      </c>
      <c r="N57" s="331"/>
    </row>
    <row r="58" spans="1:14">
      <c r="A58" s="132">
        <v>42185</v>
      </c>
      <c r="B58" s="133" t="s">
        <v>238</v>
      </c>
      <c r="C58" s="134">
        <v>6105</v>
      </c>
      <c r="D58" s="134">
        <v>5355</v>
      </c>
      <c r="E58" s="134"/>
      <c r="F58" s="134"/>
      <c r="G58" s="134"/>
      <c r="H58" s="134">
        <v>750</v>
      </c>
      <c r="I58" s="134"/>
      <c r="J58" s="134"/>
      <c r="K58" s="135">
        <f t="shared" si="1"/>
        <v>107.10000000000001</v>
      </c>
      <c r="L58" s="136">
        <v>107</v>
      </c>
      <c r="M58" s="136">
        <f t="shared" si="0"/>
        <v>0.10000000000000853</v>
      </c>
      <c r="N58" s="331"/>
    </row>
    <row r="59" spans="1:14">
      <c r="A59" s="132">
        <v>42185</v>
      </c>
      <c r="B59" s="133" t="s">
        <v>238</v>
      </c>
      <c r="C59" s="134">
        <v>30524</v>
      </c>
      <c r="D59" s="134">
        <v>26775</v>
      </c>
      <c r="E59" s="134"/>
      <c r="F59" s="134"/>
      <c r="G59" s="134"/>
      <c r="H59" s="134">
        <v>3749</v>
      </c>
      <c r="I59" s="134"/>
      <c r="J59" s="134"/>
      <c r="K59" s="135">
        <f t="shared" si="1"/>
        <v>535.5</v>
      </c>
      <c r="L59" s="136">
        <v>536</v>
      </c>
      <c r="M59" s="136">
        <f t="shared" si="0"/>
        <v>-0.5</v>
      </c>
      <c r="N59" s="331"/>
    </row>
    <row r="60" spans="1:14">
      <c r="A60" s="132">
        <v>42185</v>
      </c>
      <c r="B60" s="133" t="s">
        <v>238</v>
      </c>
      <c r="C60" s="134">
        <v>51105</v>
      </c>
      <c r="D60" s="134">
        <v>44829</v>
      </c>
      <c r="E60" s="134"/>
      <c r="F60" s="134"/>
      <c r="G60" s="134"/>
      <c r="H60" s="134">
        <v>6276</v>
      </c>
      <c r="I60" s="134"/>
      <c r="J60" s="134"/>
      <c r="K60" s="135">
        <f t="shared" si="1"/>
        <v>896.58</v>
      </c>
      <c r="L60" s="136">
        <v>896</v>
      </c>
      <c r="M60" s="136">
        <f t="shared" si="0"/>
        <v>0.58000000000004093</v>
      </c>
      <c r="N60" s="331"/>
    </row>
    <row r="61" spans="1:14">
      <c r="A61" s="132">
        <v>42185</v>
      </c>
      <c r="B61" s="133" t="s">
        <v>238</v>
      </c>
      <c r="C61" s="134">
        <v>253308</v>
      </c>
      <c r="D61" s="134">
        <v>222200</v>
      </c>
      <c r="E61" s="134"/>
      <c r="F61" s="134"/>
      <c r="G61" s="134"/>
      <c r="H61" s="134">
        <v>31108</v>
      </c>
      <c r="I61" s="134"/>
      <c r="J61" s="134"/>
      <c r="K61" s="135">
        <f t="shared" si="1"/>
        <v>4444</v>
      </c>
      <c r="L61" s="136">
        <v>4444</v>
      </c>
      <c r="M61" s="136">
        <f t="shared" si="0"/>
        <v>0</v>
      </c>
      <c r="N61" s="331"/>
    </row>
    <row r="62" spans="1:14">
      <c r="A62" s="132">
        <v>42185</v>
      </c>
      <c r="B62" s="133" t="s">
        <v>238</v>
      </c>
      <c r="C62" s="134">
        <v>29593</v>
      </c>
      <c r="D62" s="134">
        <v>25959</v>
      </c>
      <c r="E62" s="134"/>
      <c r="F62" s="134"/>
      <c r="G62" s="134"/>
      <c r="H62" s="134">
        <v>3634</v>
      </c>
      <c r="I62" s="134"/>
      <c r="J62" s="134"/>
      <c r="K62" s="135">
        <f t="shared" si="1"/>
        <v>519.18000000000006</v>
      </c>
      <c r="L62" s="136">
        <v>519</v>
      </c>
      <c r="M62" s="136">
        <f t="shared" si="0"/>
        <v>0.18000000000006366</v>
      </c>
      <c r="N62" s="331"/>
    </row>
    <row r="63" spans="1:14">
      <c r="A63" s="132">
        <v>42185</v>
      </c>
      <c r="B63" s="133" t="s">
        <v>238</v>
      </c>
      <c r="C63" s="134">
        <v>26454</v>
      </c>
      <c r="D63" s="134">
        <v>23205</v>
      </c>
      <c r="E63" s="134"/>
      <c r="F63" s="134"/>
      <c r="G63" s="134"/>
      <c r="H63" s="134">
        <v>3249</v>
      </c>
      <c r="I63" s="134"/>
      <c r="J63" s="134"/>
      <c r="K63" s="135">
        <f t="shared" si="1"/>
        <v>464.1</v>
      </c>
      <c r="L63" s="136">
        <v>464</v>
      </c>
      <c r="M63" s="136">
        <f t="shared" si="0"/>
        <v>0.10000000000002274</v>
      </c>
      <c r="N63" s="331"/>
    </row>
    <row r="64" spans="1:14">
      <c r="A64" s="132">
        <v>42185</v>
      </c>
      <c r="B64" s="133" t="s">
        <v>238</v>
      </c>
      <c r="C64" s="134">
        <v>193272</v>
      </c>
      <c r="D64" s="134">
        <v>169537</v>
      </c>
      <c r="E64" s="134"/>
      <c r="F64" s="134"/>
      <c r="G64" s="134"/>
      <c r="H64" s="134">
        <v>23735</v>
      </c>
      <c r="I64" s="134"/>
      <c r="J64" s="134"/>
      <c r="K64" s="135">
        <f t="shared" si="1"/>
        <v>3390.7400000000002</v>
      </c>
      <c r="L64" s="136">
        <v>3391</v>
      </c>
      <c r="M64" s="136">
        <f t="shared" si="0"/>
        <v>-0.25999999999976353</v>
      </c>
      <c r="N64" s="331"/>
    </row>
    <row r="65" spans="1:14">
      <c r="A65" s="132">
        <v>42185</v>
      </c>
      <c r="B65" s="133" t="s">
        <v>236</v>
      </c>
      <c r="C65" s="134">
        <v>30233</v>
      </c>
      <c r="D65" s="134">
        <v>26520</v>
      </c>
      <c r="E65" s="134"/>
      <c r="F65" s="134"/>
      <c r="G65" s="134"/>
      <c r="H65" s="134">
        <v>3713</v>
      </c>
      <c r="I65" s="134"/>
      <c r="J65" s="134"/>
      <c r="K65" s="135">
        <v>0</v>
      </c>
      <c r="L65" s="136"/>
      <c r="M65" s="136">
        <f t="shared" si="0"/>
        <v>0</v>
      </c>
      <c r="N65" s="331"/>
    </row>
    <row r="66" spans="1:14">
      <c r="A66" s="132">
        <v>42185</v>
      </c>
      <c r="B66" s="133" t="s">
        <v>236</v>
      </c>
      <c r="C66" s="134">
        <v>12791</v>
      </c>
      <c r="D66" s="134">
        <v>11220</v>
      </c>
      <c r="E66" s="134"/>
      <c r="F66" s="134"/>
      <c r="G66" s="134"/>
      <c r="H66" s="134">
        <v>1571</v>
      </c>
      <c r="I66" s="134"/>
      <c r="J66" s="134"/>
      <c r="K66" s="135">
        <v>0</v>
      </c>
      <c r="L66" s="136"/>
      <c r="M66" s="136">
        <f t="shared" si="0"/>
        <v>0</v>
      </c>
      <c r="N66" s="331"/>
    </row>
    <row r="67" spans="1:14">
      <c r="A67" s="132">
        <v>42185</v>
      </c>
      <c r="B67" s="133" t="s">
        <v>236</v>
      </c>
      <c r="C67" s="134">
        <v>38372</v>
      </c>
      <c r="D67" s="134">
        <v>33660</v>
      </c>
      <c r="E67" s="134"/>
      <c r="F67" s="134"/>
      <c r="G67" s="134"/>
      <c r="H67" s="134">
        <v>4712</v>
      </c>
      <c r="I67" s="134"/>
      <c r="J67" s="134"/>
      <c r="K67" s="135">
        <v>0</v>
      </c>
      <c r="L67" s="136"/>
      <c r="M67" s="136">
        <f t="shared" ref="M67:M131" si="2">+K67-L67</f>
        <v>0</v>
      </c>
      <c r="N67" s="331"/>
    </row>
    <row r="68" spans="1:14">
      <c r="A68" s="132">
        <v>42185</v>
      </c>
      <c r="B68" s="133" t="s">
        <v>243</v>
      </c>
      <c r="C68" s="134">
        <v>62016</v>
      </c>
      <c r="D68" s="134">
        <v>54400</v>
      </c>
      <c r="E68" s="134"/>
      <c r="F68" s="134"/>
      <c r="G68" s="134"/>
      <c r="H68" s="134">
        <v>7616</v>
      </c>
      <c r="I68" s="134"/>
      <c r="J68" s="134"/>
      <c r="K68" s="135">
        <f t="shared" ref="K68:K132" si="3">+D68*2%</f>
        <v>1088</v>
      </c>
      <c r="L68" s="136">
        <v>1088</v>
      </c>
      <c r="M68" s="136">
        <f t="shared" si="2"/>
        <v>0</v>
      </c>
      <c r="N68" s="331"/>
    </row>
    <row r="69" spans="1:14">
      <c r="A69" s="132">
        <v>42202</v>
      </c>
      <c r="B69" s="133" t="s">
        <v>245</v>
      </c>
      <c r="C69" s="134">
        <v>0</v>
      </c>
      <c r="D69" s="134">
        <v>0</v>
      </c>
      <c r="E69" s="134"/>
      <c r="F69" s="134"/>
      <c r="G69" s="134"/>
      <c r="H69" s="134"/>
      <c r="I69" s="134"/>
      <c r="J69" s="134"/>
      <c r="K69" s="135">
        <v>0</v>
      </c>
      <c r="L69" s="136">
        <v>760</v>
      </c>
      <c r="M69" s="136">
        <f t="shared" si="2"/>
        <v>-760</v>
      </c>
      <c r="N69" s="331">
        <v>14148</v>
      </c>
    </row>
    <row r="70" spans="1:14">
      <c r="A70" s="132">
        <v>42200</v>
      </c>
      <c r="B70" s="133" t="s">
        <v>236</v>
      </c>
      <c r="C70" s="134">
        <v>21899</v>
      </c>
      <c r="D70" s="134">
        <v>19210</v>
      </c>
      <c r="E70" s="134"/>
      <c r="F70" s="134"/>
      <c r="G70" s="134"/>
      <c r="H70" s="134">
        <v>2689</v>
      </c>
      <c r="I70" s="134"/>
      <c r="J70" s="134"/>
      <c r="K70" s="135">
        <v>0</v>
      </c>
      <c r="L70" s="136"/>
      <c r="M70" s="136">
        <f t="shared" si="2"/>
        <v>0</v>
      </c>
      <c r="N70" s="331"/>
    </row>
    <row r="71" spans="1:14">
      <c r="A71" s="132">
        <v>42207</v>
      </c>
      <c r="B71" s="133" t="s">
        <v>247</v>
      </c>
      <c r="C71" s="134">
        <v>111720</v>
      </c>
      <c r="D71" s="134">
        <v>98000</v>
      </c>
      <c r="E71" s="134"/>
      <c r="F71" s="134"/>
      <c r="G71" s="134"/>
      <c r="H71" s="134">
        <v>13720</v>
      </c>
      <c r="I71" s="134"/>
      <c r="J71" s="134"/>
      <c r="K71" s="135">
        <f t="shared" si="3"/>
        <v>1960</v>
      </c>
      <c r="L71" s="136">
        <v>2234</v>
      </c>
      <c r="M71" s="136">
        <f t="shared" si="2"/>
        <v>-274</v>
      </c>
      <c r="N71" s="331"/>
    </row>
    <row r="72" spans="1:14">
      <c r="A72" s="132">
        <v>42216</v>
      </c>
      <c r="B72" s="133" t="s">
        <v>236</v>
      </c>
      <c r="C72" s="134">
        <v>11240</v>
      </c>
      <c r="D72" s="134">
        <v>9860</v>
      </c>
      <c r="E72" s="134"/>
      <c r="F72" s="134"/>
      <c r="G72" s="134"/>
      <c r="H72" s="134">
        <v>1380</v>
      </c>
      <c r="I72" s="134"/>
      <c r="J72" s="134"/>
      <c r="K72" s="135">
        <v>0</v>
      </c>
      <c r="L72" s="136"/>
      <c r="M72" s="136">
        <f t="shared" si="2"/>
        <v>0</v>
      </c>
      <c r="N72" s="331"/>
    </row>
    <row r="73" spans="1:14">
      <c r="A73" s="132">
        <v>42216</v>
      </c>
      <c r="B73" s="133" t="s">
        <v>238</v>
      </c>
      <c r="C73" s="134">
        <v>34012</v>
      </c>
      <c r="D73" s="134">
        <v>29835</v>
      </c>
      <c r="E73" s="134"/>
      <c r="F73" s="134"/>
      <c r="G73" s="134"/>
      <c r="H73" s="134">
        <v>4177</v>
      </c>
      <c r="I73" s="134"/>
      <c r="J73" s="134"/>
      <c r="K73" s="135">
        <f t="shared" si="3"/>
        <v>596.70000000000005</v>
      </c>
      <c r="L73" s="136">
        <v>597</v>
      </c>
      <c r="M73" s="136">
        <f t="shared" si="2"/>
        <v>-0.29999999999995453</v>
      </c>
      <c r="N73" s="331"/>
    </row>
    <row r="74" spans="1:14">
      <c r="A74" s="132">
        <v>42216</v>
      </c>
      <c r="B74" s="133" t="s">
        <v>238</v>
      </c>
      <c r="C74" s="134">
        <v>143013</v>
      </c>
      <c r="D74" s="134">
        <v>125450</v>
      </c>
      <c r="E74" s="134"/>
      <c r="F74" s="134"/>
      <c r="G74" s="134"/>
      <c r="H74" s="134">
        <v>17563</v>
      </c>
      <c r="I74" s="134"/>
      <c r="J74" s="134"/>
      <c r="K74" s="135">
        <f t="shared" si="3"/>
        <v>2509</v>
      </c>
      <c r="L74" s="136">
        <v>2509</v>
      </c>
      <c r="M74" s="136">
        <f t="shared" si="2"/>
        <v>0</v>
      </c>
      <c r="N74" s="331"/>
    </row>
    <row r="75" spans="1:14">
      <c r="A75" s="132">
        <v>42216</v>
      </c>
      <c r="B75" s="133" t="s">
        <v>238</v>
      </c>
      <c r="C75" s="134">
        <v>60175</v>
      </c>
      <c r="D75" s="134">
        <v>52785</v>
      </c>
      <c r="E75" s="134"/>
      <c r="F75" s="134"/>
      <c r="G75" s="134"/>
      <c r="H75" s="134">
        <v>7390</v>
      </c>
      <c r="I75" s="134"/>
      <c r="J75" s="134"/>
      <c r="K75" s="135">
        <f t="shared" si="3"/>
        <v>1055.7</v>
      </c>
      <c r="L75" s="136">
        <v>1056</v>
      </c>
      <c r="M75" s="136">
        <f t="shared" si="2"/>
        <v>-0.29999999999995453</v>
      </c>
      <c r="N75" s="331"/>
    </row>
    <row r="76" spans="1:14">
      <c r="A76" s="132">
        <v>42216</v>
      </c>
      <c r="B76" s="133" t="s">
        <v>238</v>
      </c>
      <c r="C76" s="134">
        <v>40014</v>
      </c>
      <c r="D76" s="134">
        <v>35100</v>
      </c>
      <c r="E76" s="134"/>
      <c r="F76" s="134"/>
      <c r="G76" s="134"/>
      <c r="H76" s="134">
        <v>4914</v>
      </c>
      <c r="I76" s="134"/>
      <c r="J76" s="134"/>
      <c r="K76" s="135">
        <f t="shared" si="3"/>
        <v>702</v>
      </c>
      <c r="L76" s="136">
        <v>702</v>
      </c>
      <c r="M76" s="136">
        <f t="shared" si="2"/>
        <v>0</v>
      </c>
      <c r="N76" s="331"/>
    </row>
    <row r="77" spans="1:14">
      <c r="A77" s="132">
        <v>42216</v>
      </c>
      <c r="B77" s="133" t="s">
        <v>238</v>
      </c>
      <c r="C77" s="134">
        <v>195856</v>
      </c>
      <c r="D77" s="134">
        <v>171803</v>
      </c>
      <c r="E77" s="134"/>
      <c r="F77" s="134"/>
      <c r="G77" s="134"/>
      <c r="H77" s="134">
        <v>24053</v>
      </c>
      <c r="I77" s="134"/>
      <c r="J77" s="134"/>
      <c r="K77" s="135">
        <f t="shared" si="3"/>
        <v>3436.06</v>
      </c>
      <c r="L77" s="136">
        <v>3436</v>
      </c>
      <c r="M77" s="136">
        <f t="shared" si="2"/>
        <v>5.999999999994543E-2</v>
      </c>
      <c r="N77" s="331"/>
    </row>
    <row r="78" spans="1:14">
      <c r="A78" s="132">
        <v>42216</v>
      </c>
      <c r="B78" s="133" t="s">
        <v>238</v>
      </c>
      <c r="C78" s="134">
        <v>81745</v>
      </c>
      <c r="D78" s="134">
        <v>71706</v>
      </c>
      <c r="E78" s="134"/>
      <c r="F78" s="134"/>
      <c r="G78" s="134"/>
      <c r="H78" s="134">
        <v>10039</v>
      </c>
      <c r="I78" s="134"/>
      <c r="J78" s="134"/>
      <c r="K78" s="135">
        <f t="shared" si="3"/>
        <v>1434.1200000000001</v>
      </c>
      <c r="L78" s="136">
        <f>11154-8300</f>
        <v>2854</v>
      </c>
      <c r="M78" s="136">
        <f t="shared" si="2"/>
        <v>-1419.8799999999999</v>
      </c>
      <c r="N78" s="331"/>
    </row>
    <row r="79" spans="1:14">
      <c r="A79" s="132">
        <v>42217</v>
      </c>
      <c r="B79" s="133" t="s">
        <v>246</v>
      </c>
      <c r="C79" s="134">
        <v>200640</v>
      </c>
      <c r="D79" s="134">
        <v>176000</v>
      </c>
      <c r="E79" s="134"/>
      <c r="F79" s="134"/>
      <c r="G79" s="134"/>
      <c r="H79" s="134">
        <v>24640</v>
      </c>
      <c r="I79" s="134"/>
      <c r="J79" s="134"/>
      <c r="K79" s="135">
        <f t="shared" si="3"/>
        <v>3520</v>
      </c>
      <c r="L79" s="136">
        <v>4013</v>
      </c>
      <c r="M79" s="136">
        <f t="shared" si="2"/>
        <v>-493</v>
      </c>
      <c r="N79" s="331">
        <v>43482</v>
      </c>
    </row>
    <row r="80" spans="1:14">
      <c r="A80" s="132">
        <v>42217</v>
      </c>
      <c r="B80" s="133" t="s">
        <v>246</v>
      </c>
      <c r="C80" s="134">
        <v>6156</v>
      </c>
      <c r="D80" s="134">
        <v>5400</v>
      </c>
      <c r="E80" s="134"/>
      <c r="F80" s="134"/>
      <c r="G80" s="134"/>
      <c r="H80" s="134">
        <v>756</v>
      </c>
      <c r="I80" s="134"/>
      <c r="J80" s="134"/>
      <c r="K80" s="135">
        <f t="shared" si="3"/>
        <v>108</v>
      </c>
      <c r="L80" s="136">
        <v>123</v>
      </c>
      <c r="M80" s="136">
        <f t="shared" si="2"/>
        <v>-15</v>
      </c>
      <c r="N80" s="331"/>
    </row>
    <row r="81" spans="1:14">
      <c r="A81" s="132">
        <v>42221</v>
      </c>
      <c r="B81" s="133" t="s">
        <v>244</v>
      </c>
      <c r="C81" s="134">
        <v>554040</v>
      </c>
      <c r="D81" s="134">
        <v>486000</v>
      </c>
      <c r="E81" s="134"/>
      <c r="F81" s="134"/>
      <c r="G81" s="134"/>
      <c r="H81" s="134">
        <v>68040</v>
      </c>
      <c r="I81" s="134">
        <v>486000</v>
      </c>
      <c r="J81" s="134"/>
      <c r="K81" s="135">
        <f t="shared" si="3"/>
        <v>9720</v>
      </c>
      <c r="L81" s="136">
        <v>9720</v>
      </c>
      <c r="M81" s="136">
        <f t="shared" si="2"/>
        <v>0</v>
      </c>
      <c r="N81" s="331"/>
    </row>
    <row r="82" spans="1:14">
      <c r="A82" s="132">
        <v>42243</v>
      </c>
      <c r="B82" s="133" t="s">
        <v>244</v>
      </c>
      <c r="C82" s="134">
        <v>554040</v>
      </c>
      <c r="D82" s="134">
        <v>486000</v>
      </c>
      <c r="E82" s="134"/>
      <c r="F82" s="134"/>
      <c r="G82" s="134"/>
      <c r="H82" s="134">
        <v>68040</v>
      </c>
      <c r="I82" s="134">
        <v>486000</v>
      </c>
      <c r="J82" s="134"/>
      <c r="K82" s="135">
        <f t="shared" si="3"/>
        <v>9720</v>
      </c>
      <c r="L82" s="136">
        <v>9720</v>
      </c>
      <c r="M82" s="136">
        <f t="shared" si="2"/>
        <v>0</v>
      </c>
      <c r="N82" s="331"/>
    </row>
    <row r="83" spans="1:14">
      <c r="A83" s="132">
        <v>42247</v>
      </c>
      <c r="B83" s="133" t="s">
        <v>233</v>
      </c>
      <c r="C83" s="134">
        <v>90288</v>
      </c>
      <c r="D83" s="134">
        <v>79200</v>
      </c>
      <c r="E83" s="134"/>
      <c r="F83" s="134"/>
      <c r="G83" s="134"/>
      <c r="H83" s="134">
        <v>11088</v>
      </c>
      <c r="I83" s="134"/>
      <c r="J83" s="134"/>
      <c r="K83" s="135">
        <f t="shared" si="3"/>
        <v>1584</v>
      </c>
      <c r="L83" s="136">
        <v>4514</v>
      </c>
      <c r="M83" s="136">
        <f t="shared" si="2"/>
        <v>-2930</v>
      </c>
      <c r="N83" s="331"/>
    </row>
    <row r="84" spans="1:14">
      <c r="A84" s="132">
        <v>42247</v>
      </c>
      <c r="B84" s="133" t="s">
        <v>238</v>
      </c>
      <c r="C84" s="134">
        <v>435452</v>
      </c>
      <c r="D84" s="134">
        <v>381975</v>
      </c>
      <c r="E84" s="134"/>
      <c r="F84" s="134"/>
      <c r="G84" s="134"/>
      <c r="H84" s="134">
        <v>53477</v>
      </c>
      <c r="I84" s="134"/>
      <c r="J84" s="134"/>
      <c r="K84" s="135">
        <f t="shared" si="3"/>
        <v>7639.5</v>
      </c>
      <c r="L84" s="136">
        <v>7640</v>
      </c>
      <c r="M84" s="136">
        <f t="shared" si="2"/>
        <v>-0.5</v>
      </c>
      <c r="N84" s="331"/>
    </row>
    <row r="85" spans="1:14">
      <c r="A85" s="132">
        <v>42247</v>
      </c>
      <c r="B85" s="133" t="s">
        <v>238</v>
      </c>
      <c r="C85" s="134">
        <v>26391</v>
      </c>
      <c r="D85" s="134">
        <v>23150</v>
      </c>
      <c r="E85" s="134"/>
      <c r="F85" s="134"/>
      <c r="G85" s="134"/>
      <c r="H85" s="134">
        <v>3241</v>
      </c>
      <c r="I85" s="134"/>
      <c r="J85" s="134"/>
      <c r="K85" s="135">
        <f t="shared" si="3"/>
        <v>463</v>
      </c>
      <c r="L85" s="136">
        <v>463</v>
      </c>
      <c r="M85" s="136">
        <f t="shared" si="2"/>
        <v>0</v>
      </c>
      <c r="N85" s="331"/>
    </row>
    <row r="86" spans="1:14">
      <c r="A86" s="132">
        <v>42247</v>
      </c>
      <c r="B86" s="133" t="s">
        <v>238</v>
      </c>
      <c r="C86" s="134">
        <v>44190</v>
      </c>
      <c r="D86" s="134">
        <v>43281</v>
      </c>
      <c r="E86" s="134"/>
      <c r="F86" s="134"/>
      <c r="G86" s="134"/>
      <c r="H86" s="134">
        <v>909</v>
      </c>
      <c r="I86" s="134">
        <v>43281</v>
      </c>
      <c r="J86" s="134"/>
      <c r="K86" s="135">
        <f t="shared" si="3"/>
        <v>865.62</v>
      </c>
      <c r="L86" s="136">
        <v>865</v>
      </c>
      <c r="M86" s="136">
        <f t="shared" si="2"/>
        <v>0.62000000000000455</v>
      </c>
      <c r="N86" s="331"/>
    </row>
    <row r="87" spans="1:14">
      <c r="A87" s="132">
        <v>42247</v>
      </c>
      <c r="B87" s="133" t="s">
        <v>238</v>
      </c>
      <c r="C87" s="134">
        <v>70327</v>
      </c>
      <c r="D87" s="134">
        <v>61690</v>
      </c>
      <c r="E87" s="134"/>
      <c r="F87" s="134"/>
      <c r="G87" s="134"/>
      <c r="H87" s="134">
        <v>8637</v>
      </c>
      <c r="I87" s="134"/>
      <c r="J87" s="134"/>
      <c r="K87" s="135">
        <f t="shared" si="3"/>
        <v>1233.8</v>
      </c>
      <c r="L87" s="136">
        <v>1234</v>
      </c>
      <c r="M87" s="136">
        <f t="shared" si="2"/>
        <v>-0.20000000000004547</v>
      </c>
      <c r="N87" s="331"/>
    </row>
    <row r="88" spans="1:14">
      <c r="A88" s="132">
        <v>42247</v>
      </c>
      <c r="B88" s="133" t="s">
        <v>238</v>
      </c>
      <c r="C88" s="134">
        <v>40014</v>
      </c>
      <c r="D88" s="134">
        <v>35100</v>
      </c>
      <c r="E88" s="134"/>
      <c r="F88" s="134"/>
      <c r="G88" s="134"/>
      <c r="H88" s="134">
        <v>4914</v>
      </c>
      <c r="I88" s="134"/>
      <c r="J88" s="134"/>
      <c r="K88" s="135">
        <f t="shared" si="3"/>
        <v>702</v>
      </c>
      <c r="L88" s="136">
        <v>702</v>
      </c>
      <c r="M88" s="136">
        <f t="shared" si="2"/>
        <v>0</v>
      </c>
      <c r="N88" s="331"/>
    </row>
    <row r="89" spans="1:14">
      <c r="A89" s="132">
        <v>42247</v>
      </c>
      <c r="B89" s="133" t="s">
        <v>232</v>
      </c>
      <c r="C89" s="134">
        <v>124032</v>
      </c>
      <c r="D89" s="134">
        <v>108800</v>
      </c>
      <c r="E89" s="134"/>
      <c r="F89" s="134"/>
      <c r="G89" s="134"/>
      <c r="H89" s="134">
        <v>15232</v>
      </c>
      <c r="I89" s="134"/>
      <c r="J89" s="134"/>
      <c r="K89" s="135">
        <f t="shared" si="3"/>
        <v>2176</v>
      </c>
      <c r="L89" s="136">
        <v>8160</v>
      </c>
      <c r="M89" s="136">
        <f t="shared" si="2"/>
        <v>-5984</v>
      </c>
      <c r="N89" s="331"/>
    </row>
    <row r="90" spans="1:14">
      <c r="A90" s="132">
        <v>42254</v>
      </c>
      <c r="B90" s="133" t="s">
        <v>245</v>
      </c>
      <c r="C90" s="134">
        <v>38019</v>
      </c>
      <c r="D90" s="134">
        <v>33350</v>
      </c>
      <c r="E90" s="134"/>
      <c r="F90" s="134"/>
      <c r="G90" s="134"/>
      <c r="H90" s="134">
        <v>4669</v>
      </c>
      <c r="I90" s="134">
        <v>33350</v>
      </c>
      <c r="J90" s="134"/>
      <c r="K90" s="135">
        <f t="shared" si="3"/>
        <v>667</v>
      </c>
      <c r="L90" s="136">
        <v>0</v>
      </c>
      <c r="M90" s="136">
        <f t="shared" si="2"/>
        <v>667</v>
      </c>
      <c r="N90" s="331">
        <f>50551+15+1650+3385</f>
        <v>55601</v>
      </c>
    </row>
    <row r="91" spans="1:14">
      <c r="A91" s="132">
        <v>42262</v>
      </c>
      <c r="B91" s="133" t="s">
        <v>243</v>
      </c>
      <c r="C91" s="134">
        <v>75240</v>
      </c>
      <c r="D91" s="134">
        <v>66000</v>
      </c>
      <c r="E91" s="134"/>
      <c r="F91" s="134"/>
      <c r="G91" s="134"/>
      <c r="H91" s="134">
        <v>9240</v>
      </c>
      <c r="I91" s="134"/>
      <c r="J91" s="134"/>
      <c r="K91" s="135">
        <f t="shared" si="3"/>
        <v>1320</v>
      </c>
      <c r="L91" s="136">
        <v>1320</v>
      </c>
      <c r="M91" s="136">
        <f t="shared" si="2"/>
        <v>0</v>
      </c>
      <c r="N91" s="331"/>
    </row>
    <row r="92" spans="1:14">
      <c r="A92" s="132">
        <v>42262</v>
      </c>
      <c r="B92" s="133" t="s">
        <v>243</v>
      </c>
      <c r="C92" s="134">
        <v>37620</v>
      </c>
      <c r="D92" s="134">
        <v>33000</v>
      </c>
      <c r="E92" s="134"/>
      <c r="F92" s="134"/>
      <c r="G92" s="134"/>
      <c r="H92" s="134">
        <v>4620</v>
      </c>
      <c r="I92" s="134"/>
      <c r="J92" s="134"/>
      <c r="K92" s="135">
        <f t="shared" si="3"/>
        <v>660</v>
      </c>
      <c r="L92" s="136">
        <v>660</v>
      </c>
      <c r="M92" s="136">
        <f t="shared" si="2"/>
        <v>0</v>
      </c>
      <c r="N92" s="331"/>
    </row>
    <row r="93" spans="1:14">
      <c r="A93" s="132">
        <v>42262</v>
      </c>
      <c r="B93" s="133" t="s">
        <v>243</v>
      </c>
      <c r="C93" s="134">
        <v>18810</v>
      </c>
      <c r="D93" s="134">
        <v>16500</v>
      </c>
      <c r="E93" s="134"/>
      <c r="F93" s="134"/>
      <c r="G93" s="134"/>
      <c r="H93" s="134">
        <v>2310</v>
      </c>
      <c r="I93" s="134"/>
      <c r="J93" s="134"/>
      <c r="K93" s="135">
        <f t="shared" si="3"/>
        <v>330</v>
      </c>
      <c r="L93" s="136">
        <v>330</v>
      </c>
      <c r="M93" s="136">
        <f t="shared" si="2"/>
        <v>0</v>
      </c>
      <c r="N93" s="331"/>
    </row>
    <row r="94" spans="1:14">
      <c r="A94" s="132">
        <v>42262</v>
      </c>
      <c r="B94" s="133" t="s">
        <v>243</v>
      </c>
      <c r="C94" s="134">
        <v>18810</v>
      </c>
      <c r="D94" s="134">
        <v>16500</v>
      </c>
      <c r="E94" s="134"/>
      <c r="F94" s="134"/>
      <c r="G94" s="134"/>
      <c r="H94" s="134">
        <v>2310</v>
      </c>
      <c r="I94" s="134"/>
      <c r="J94" s="134"/>
      <c r="K94" s="135">
        <f t="shared" si="3"/>
        <v>330</v>
      </c>
      <c r="L94" s="136">
        <v>330</v>
      </c>
      <c r="M94" s="136">
        <f t="shared" si="2"/>
        <v>0</v>
      </c>
      <c r="N94" s="331"/>
    </row>
    <row r="95" spans="1:14">
      <c r="A95" s="132">
        <v>42262</v>
      </c>
      <c r="B95" s="133" t="s">
        <v>232</v>
      </c>
      <c r="C95" s="134">
        <v>93024</v>
      </c>
      <c r="D95" s="134">
        <v>81600</v>
      </c>
      <c r="E95" s="134"/>
      <c r="F95" s="134"/>
      <c r="G95" s="134"/>
      <c r="H95" s="134">
        <v>11424</v>
      </c>
      <c r="I95" s="134"/>
      <c r="J95" s="134"/>
      <c r="K95" s="135">
        <f t="shared" si="3"/>
        <v>1632</v>
      </c>
      <c r="L95" s="136">
        <f>8160+15</f>
        <v>8175</v>
      </c>
      <c r="M95" s="136">
        <f t="shared" si="2"/>
        <v>-6543</v>
      </c>
      <c r="N95" s="331"/>
    </row>
    <row r="96" spans="1:14">
      <c r="A96" s="132">
        <v>42262</v>
      </c>
      <c r="B96" s="133" t="s">
        <v>232</v>
      </c>
      <c r="C96" s="134">
        <v>364344</v>
      </c>
      <c r="D96" s="134">
        <v>319600</v>
      </c>
      <c r="E96" s="134"/>
      <c r="F96" s="134"/>
      <c r="G96" s="134"/>
      <c r="H96" s="134">
        <v>44744</v>
      </c>
      <c r="I96" s="134"/>
      <c r="J96" s="134"/>
      <c r="K96" s="135">
        <f t="shared" si="3"/>
        <v>6392</v>
      </c>
      <c r="L96" s="136"/>
      <c r="M96" s="136">
        <f t="shared" si="2"/>
        <v>6392</v>
      </c>
      <c r="N96" s="331"/>
    </row>
    <row r="97" spans="1:14">
      <c r="A97" s="132">
        <v>42262</v>
      </c>
      <c r="B97" s="133" t="s">
        <v>238</v>
      </c>
      <c r="C97" s="134">
        <v>53780</v>
      </c>
      <c r="D97" s="134">
        <v>47175</v>
      </c>
      <c r="E97" s="134"/>
      <c r="F97" s="134"/>
      <c r="G97" s="134"/>
      <c r="H97" s="134">
        <v>6605</v>
      </c>
      <c r="I97" s="134"/>
      <c r="J97" s="134"/>
      <c r="K97" s="135">
        <f t="shared" si="3"/>
        <v>943.5</v>
      </c>
      <c r="L97" s="136">
        <v>943</v>
      </c>
      <c r="M97" s="136">
        <f t="shared" si="2"/>
        <v>0.5</v>
      </c>
      <c r="N97" s="331"/>
    </row>
    <row r="98" spans="1:14">
      <c r="A98" s="132">
        <v>42262</v>
      </c>
      <c r="B98" s="133" t="s">
        <v>238</v>
      </c>
      <c r="C98" s="134">
        <v>721251</v>
      </c>
      <c r="D98" s="134">
        <v>632676</v>
      </c>
      <c r="E98" s="134"/>
      <c r="F98" s="134"/>
      <c r="G98" s="134"/>
      <c r="H98" s="134">
        <v>88575</v>
      </c>
      <c r="I98" s="134"/>
      <c r="J98" s="134"/>
      <c r="K98" s="135">
        <f t="shared" si="3"/>
        <v>12653.52</v>
      </c>
      <c r="L98" s="136">
        <v>12654</v>
      </c>
      <c r="M98" s="136">
        <f t="shared" si="2"/>
        <v>-0.47999999999956344</v>
      </c>
      <c r="N98" s="331"/>
    </row>
    <row r="99" spans="1:14">
      <c r="A99" s="132">
        <v>42277</v>
      </c>
      <c r="B99" s="133" t="s">
        <v>233</v>
      </c>
      <c r="C99" s="134">
        <v>342342</v>
      </c>
      <c r="D99" s="134">
        <v>300300</v>
      </c>
      <c r="E99" s="134"/>
      <c r="F99" s="134"/>
      <c r="G99" s="134"/>
      <c r="H99" s="134">
        <v>42042</v>
      </c>
      <c r="I99" s="134"/>
      <c r="J99" s="134"/>
      <c r="K99" s="135">
        <f t="shared" si="3"/>
        <v>6006</v>
      </c>
      <c r="L99" s="136">
        <f>4515+3828</f>
        <v>8343</v>
      </c>
      <c r="M99" s="136">
        <f t="shared" si="2"/>
        <v>-2337</v>
      </c>
      <c r="N99" s="331"/>
    </row>
    <row r="100" spans="1:14">
      <c r="A100" s="132">
        <v>42277</v>
      </c>
      <c r="B100" s="133" t="s">
        <v>233</v>
      </c>
      <c r="C100" s="134">
        <v>63954</v>
      </c>
      <c r="D100" s="134">
        <v>56100</v>
      </c>
      <c r="E100" s="134"/>
      <c r="F100" s="134"/>
      <c r="G100" s="134"/>
      <c r="H100" s="134">
        <v>7854</v>
      </c>
      <c r="I100" s="134"/>
      <c r="J100" s="134"/>
      <c r="K100" s="135">
        <f t="shared" si="3"/>
        <v>1122</v>
      </c>
      <c r="L100" s="136">
        <v>1770</v>
      </c>
      <c r="M100" s="136">
        <f t="shared" si="2"/>
        <v>-648</v>
      </c>
      <c r="N100" s="331"/>
    </row>
    <row r="101" spans="1:14">
      <c r="A101" s="132">
        <v>42277</v>
      </c>
      <c r="B101" s="133" t="s">
        <v>236</v>
      </c>
      <c r="C101" s="134">
        <v>72287</v>
      </c>
      <c r="D101" s="134">
        <v>63410</v>
      </c>
      <c r="E101" s="134"/>
      <c r="F101" s="134"/>
      <c r="G101" s="134"/>
      <c r="H101" s="134">
        <v>8877</v>
      </c>
      <c r="I101" s="134"/>
      <c r="J101" s="134"/>
      <c r="K101" s="135">
        <v>0</v>
      </c>
      <c r="L101" s="136"/>
      <c r="M101" s="136">
        <f t="shared" si="2"/>
        <v>0</v>
      </c>
      <c r="N101" s="331"/>
    </row>
    <row r="102" spans="1:14">
      <c r="A102" s="132">
        <v>42277</v>
      </c>
      <c r="B102" s="133" t="s">
        <v>238</v>
      </c>
      <c r="C102" s="134">
        <v>387212</v>
      </c>
      <c r="D102" s="134">
        <v>339660</v>
      </c>
      <c r="E102" s="134"/>
      <c r="F102" s="134"/>
      <c r="G102" s="134"/>
      <c r="H102" s="134">
        <v>47552</v>
      </c>
      <c r="I102" s="134"/>
      <c r="J102" s="134"/>
      <c r="K102" s="135">
        <f t="shared" si="3"/>
        <v>6793.2</v>
      </c>
      <c r="L102" s="136">
        <v>6793</v>
      </c>
      <c r="M102" s="136">
        <f t="shared" si="2"/>
        <v>0.1999999999998181</v>
      </c>
      <c r="N102" s="331"/>
    </row>
    <row r="103" spans="1:14">
      <c r="A103" s="132">
        <v>42277</v>
      </c>
      <c r="B103" s="133" t="s">
        <v>238</v>
      </c>
      <c r="C103" s="134">
        <v>265292</v>
      </c>
      <c r="D103" s="134">
        <v>232712</v>
      </c>
      <c r="E103" s="134"/>
      <c r="F103" s="134"/>
      <c r="G103" s="134"/>
      <c r="H103" s="134">
        <v>32580</v>
      </c>
      <c r="I103" s="134"/>
      <c r="J103" s="134"/>
      <c r="K103" s="135">
        <f t="shared" si="3"/>
        <v>4654.24</v>
      </c>
      <c r="L103" s="136">
        <v>4654</v>
      </c>
      <c r="M103" s="136">
        <f t="shared" si="2"/>
        <v>0.23999999999978172</v>
      </c>
      <c r="N103" s="331"/>
    </row>
    <row r="104" spans="1:14">
      <c r="A104" s="132">
        <v>42277</v>
      </c>
      <c r="B104" s="133" t="s">
        <v>238</v>
      </c>
      <c r="C104" s="134">
        <v>35910</v>
      </c>
      <c r="D104" s="134">
        <v>31500</v>
      </c>
      <c r="E104" s="134"/>
      <c r="F104" s="134"/>
      <c r="G104" s="134"/>
      <c r="H104" s="134">
        <v>4410</v>
      </c>
      <c r="I104" s="134"/>
      <c r="J104" s="134"/>
      <c r="K104" s="135">
        <f t="shared" si="3"/>
        <v>630</v>
      </c>
      <c r="L104" s="136">
        <v>630</v>
      </c>
      <c r="M104" s="136">
        <f t="shared" si="2"/>
        <v>0</v>
      </c>
      <c r="N104" s="331"/>
    </row>
    <row r="105" spans="1:14">
      <c r="A105" s="132">
        <v>42277</v>
      </c>
      <c r="B105" s="133" t="s">
        <v>238</v>
      </c>
      <c r="C105" s="134">
        <v>11337</v>
      </c>
      <c r="D105" s="134">
        <v>9945</v>
      </c>
      <c r="E105" s="134"/>
      <c r="F105" s="134"/>
      <c r="G105" s="134"/>
      <c r="H105" s="134">
        <v>1392</v>
      </c>
      <c r="I105" s="134"/>
      <c r="J105" s="134"/>
      <c r="K105" s="135">
        <f t="shared" si="3"/>
        <v>198.9</v>
      </c>
      <c r="L105" s="136">
        <v>199</v>
      </c>
      <c r="M105" s="136">
        <f t="shared" si="2"/>
        <v>-9.9999999999994316E-2</v>
      </c>
      <c r="N105" s="331"/>
    </row>
    <row r="106" spans="1:14">
      <c r="A106" s="132">
        <v>42277</v>
      </c>
      <c r="B106" s="133" t="s">
        <v>243</v>
      </c>
      <c r="C106" s="134">
        <v>150480</v>
      </c>
      <c r="D106" s="134">
        <v>132000</v>
      </c>
      <c r="E106" s="134"/>
      <c r="F106" s="134"/>
      <c r="G106" s="134"/>
      <c r="H106" s="134">
        <v>18480</v>
      </c>
      <c r="I106" s="134"/>
      <c r="J106" s="134"/>
      <c r="K106" s="135">
        <f t="shared" si="3"/>
        <v>2640</v>
      </c>
      <c r="L106" s="136">
        <v>2640</v>
      </c>
      <c r="M106" s="136">
        <f t="shared" si="2"/>
        <v>0</v>
      </c>
      <c r="N106" s="331"/>
    </row>
    <row r="107" spans="1:14">
      <c r="A107" s="132">
        <v>42277</v>
      </c>
      <c r="B107" s="133" t="s">
        <v>243</v>
      </c>
      <c r="C107" s="134">
        <v>75240</v>
      </c>
      <c r="D107" s="134">
        <v>66000</v>
      </c>
      <c r="E107" s="134"/>
      <c r="F107" s="134"/>
      <c r="G107" s="134"/>
      <c r="H107" s="134">
        <v>9240</v>
      </c>
      <c r="I107" s="134"/>
      <c r="J107" s="134"/>
      <c r="K107" s="135">
        <f t="shared" si="3"/>
        <v>1320</v>
      </c>
      <c r="L107" s="136">
        <v>1320</v>
      </c>
      <c r="M107" s="136">
        <f t="shared" si="2"/>
        <v>0</v>
      </c>
      <c r="N107" s="331"/>
    </row>
    <row r="108" spans="1:14">
      <c r="A108" s="132">
        <v>42277</v>
      </c>
      <c r="B108" s="133" t="s">
        <v>243</v>
      </c>
      <c r="C108" s="134">
        <v>75240</v>
      </c>
      <c r="D108" s="134">
        <v>66000</v>
      </c>
      <c r="E108" s="134"/>
      <c r="F108" s="134"/>
      <c r="G108" s="134"/>
      <c r="H108" s="134">
        <v>9240</v>
      </c>
      <c r="I108" s="134"/>
      <c r="J108" s="134"/>
      <c r="K108" s="135">
        <f t="shared" si="3"/>
        <v>1320</v>
      </c>
      <c r="L108" s="136">
        <v>1320</v>
      </c>
      <c r="M108" s="136">
        <f t="shared" si="2"/>
        <v>0</v>
      </c>
      <c r="N108" s="331"/>
    </row>
    <row r="109" spans="1:14">
      <c r="A109" s="132">
        <v>42277</v>
      </c>
      <c r="B109" s="133" t="s">
        <v>232</v>
      </c>
      <c r="C109" s="134">
        <v>337212</v>
      </c>
      <c r="D109" s="134">
        <v>295800</v>
      </c>
      <c r="E109" s="134"/>
      <c r="F109" s="134"/>
      <c r="G109" s="134"/>
      <c r="H109" s="134">
        <v>41412</v>
      </c>
      <c r="I109" s="134"/>
      <c r="J109" s="134"/>
      <c r="K109" s="135">
        <f t="shared" si="3"/>
        <v>5916</v>
      </c>
      <c r="L109" s="136"/>
      <c r="M109" s="136">
        <f t="shared" si="2"/>
        <v>5916</v>
      </c>
      <c r="N109" s="331"/>
    </row>
    <row r="110" spans="1:14">
      <c r="A110" s="132">
        <v>42282</v>
      </c>
      <c r="B110" s="133" t="s">
        <v>244</v>
      </c>
      <c r="C110" s="134">
        <v>554040</v>
      </c>
      <c r="D110" s="134">
        <v>486000</v>
      </c>
      <c r="E110" s="134"/>
      <c r="F110" s="134"/>
      <c r="G110" s="134"/>
      <c r="H110" s="134">
        <v>68040</v>
      </c>
      <c r="I110" s="134">
        <v>486000</v>
      </c>
      <c r="J110" s="134"/>
      <c r="K110" s="135">
        <f t="shared" si="3"/>
        <v>9720</v>
      </c>
      <c r="L110" s="136">
        <v>9720</v>
      </c>
      <c r="M110" s="136">
        <f t="shared" si="2"/>
        <v>0</v>
      </c>
      <c r="N110" s="331">
        <v>78286</v>
      </c>
    </row>
    <row r="111" spans="1:14">
      <c r="A111" s="132">
        <v>42292</v>
      </c>
      <c r="B111" s="133" t="s">
        <v>236</v>
      </c>
      <c r="C111" s="134">
        <v>144381</v>
      </c>
      <c r="D111" s="134">
        <v>126650</v>
      </c>
      <c r="E111" s="134"/>
      <c r="F111" s="134"/>
      <c r="G111" s="134"/>
      <c r="H111" s="134">
        <v>17731</v>
      </c>
      <c r="I111" s="134"/>
      <c r="J111" s="134"/>
      <c r="K111" s="135">
        <v>0</v>
      </c>
      <c r="L111" s="136"/>
      <c r="M111" s="136">
        <f t="shared" si="2"/>
        <v>0</v>
      </c>
      <c r="N111" s="331"/>
    </row>
    <row r="112" spans="1:14">
      <c r="A112" s="132">
        <v>42292</v>
      </c>
      <c r="B112" s="133" t="s">
        <v>236</v>
      </c>
      <c r="C112" s="134">
        <v>112016</v>
      </c>
      <c r="D112" s="134">
        <v>98260</v>
      </c>
      <c r="E112" s="134"/>
      <c r="F112" s="134"/>
      <c r="G112" s="134"/>
      <c r="H112" s="134">
        <v>13756</v>
      </c>
      <c r="I112" s="134"/>
      <c r="J112" s="134"/>
      <c r="K112" s="135">
        <v>0</v>
      </c>
      <c r="L112" s="136"/>
      <c r="M112" s="136">
        <f t="shared" si="2"/>
        <v>0</v>
      </c>
      <c r="N112" s="331"/>
    </row>
    <row r="113" spans="1:14">
      <c r="A113" s="132">
        <v>42292</v>
      </c>
      <c r="B113" s="133" t="s">
        <v>243</v>
      </c>
      <c r="C113" s="134">
        <v>150480</v>
      </c>
      <c r="D113" s="134">
        <v>132000</v>
      </c>
      <c r="E113" s="134"/>
      <c r="F113" s="134"/>
      <c r="G113" s="134"/>
      <c r="H113" s="134">
        <v>18480</v>
      </c>
      <c r="I113" s="134"/>
      <c r="J113" s="134"/>
      <c r="K113" s="135">
        <f t="shared" si="3"/>
        <v>2640</v>
      </c>
      <c r="L113" s="136">
        <v>2640</v>
      </c>
      <c r="M113" s="136">
        <f t="shared" si="2"/>
        <v>0</v>
      </c>
      <c r="N113" s="331"/>
    </row>
    <row r="114" spans="1:14">
      <c r="A114" s="132">
        <v>42292</v>
      </c>
      <c r="B114" s="133" t="s">
        <v>232</v>
      </c>
      <c r="C114" s="134">
        <v>261630</v>
      </c>
      <c r="D114" s="134">
        <v>229500</v>
      </c>
      <c r="E114" s="134"/>
      <c r="F114" s="134"/>
      <c r="G114" s="134"/>
      <c r="H114" s="134">
        <v>32130</v>
      </c>
      <c r="I114" s="134"/>
      <c r="J114" s="134"/>
      <c r="K114" s="135">
        <f t="shared" si="3"/>
        <v>4590</v>
      </c>
      <c r="L114" s="136">
        <v>4590</v>
      </c>
      <c r="M114" s="136">
        <f t="shared" si="2"/>
        <v>0</v>
      </c>
      <c r="N114" s="331"/>
    </row>
    <row r="115" spans="1:14">
      <c r="A115" s="132">
        <v>42304</v>
      </c>
      <c r="B115" s="133" t="s">
        <v>239</v>
      </c>
      <c r="C115" s="134">
        <v>17442</v>
      </c>
      <c r="D115" s="134">
        <v>15300</v>
      </c>
      <c r="E115" s="134"/>
      <c r="F115" s="134"/>
      <c r="G115" s="134"/>
      <c r="H115" s="134">
        <v>2142</v>
      </c>
      <c r="I115" s="134"/>
      <c r="J115" s="134"/>
      <c r="K115" s="135">
        <f t="shared" si="3"/>
        <v>306</v>
      </c>
      <c r="L115" s="136">
        <v>306</v>
      </c>
      <c r="M115" s="136">
        <f t="shared" si="2"/>
        <v>0</v>
      </c>
      <c r="N115" s="331"/>
    </row>
    <row r="116" spans="1:14">
      <c r="A116" s="132">
        <v>42308</v>
      </c>
      <c r="B116" s="133" t="s">
        <v>233</v>
      </c>
      <c r="C116" s="134">
        <v>283404</v>
      </c>
      <c r="D116" s="134">
        <v>248600</v>
      </c>
      <c r="E116" s="134"/>
      <c r="F116" s="134"/>
      <c r="G116" s="134"/>
      <c r="H116" s="134">
        <v>34804</v>
      </c>
      <c r="I116" s="134"/>
      <c r="J116" s="134"/>
      <c r="K116" s="135">
        <f t="shared" si="3"/>
        <v>4972</v>
      </c>
      <c r="L116" s="136">
        <v>4972</v>
      </c>
      <c r="M116" s="136">
        <f t="shared" si="2"/>
        <v>0</v>
      </c>
      <c r="N116" s="331"/>
    </row>
    <row r="117" spans="1:14">
      <c r="A117" s="132">
        <v>42308</v>
      </c>
      <c r="B117" s="133" t="s">
        <v>233</v>
      </c>
      <c r="C117" s="134">
        <v>1710</v>
      </c>
      <c r="D117" s="134">
        <v>1500</v>
      </c>
      <c r="E117" s="134"/>
      <c r="F117" s="134"/>
      <c r="G117" s="134"/>
      <c r="H117" s="134">
        <v>210</v>
      </c>
      <c r="I117" s="134"/>
      <c r="J117" s="134"/>
      <c r="K117" s="135">
        <f t="shared" si="3"/>
        <v>30</v>
      </c>
      <c r="L117" s="136">
        <v>30</v>
      </c>
      <c r="M117" s="136">
        <f t="shared" si="2"/>
        <v>0</v>
      </c>
      <c r="N117" s="331"/>
    </row>
    <row r="118" spans="1:14">
      <c r="A118" s="132">
        <v>42308</v>
      </c>
      <c r="B118" s="133" t="s">
        <v>233</v>
      </c>
      <c r="C118" s="134">
        <v>99180</v>
      </c>
      <c r="D118" s="134">
        <v>87000</v>
      </c>
      <c r="E118" s="134"/>
      <c r="F118" s="134"/>
      <c r="G118" s="134"/>
      <c r="H118" s="134">
        <v>12180</v>
      </c>
      <c r="I118" s="134"/>
      <c r="J118" s="134"/>
      <c r="K118" s="135">
        <f t="shared" si="3"/>
        <v>1740</v>
      </c>
      <c r="L118" s="136">
        <v>1740</v>
      </c>
      <c r="M118" s="136">
        <f t="shared" si="2"/>
        <v>0</v>
      </c>
      <c r="N118" s="331"/>
    </row>
    <row r="119" spans="1:14">
      <c r="A119" s="132">
        <v>42308</v>
      </c>
      <c r="B119" s="133" t="s">
        <v>236</v>
      </c>
      <c r="C119" s="134">
        <v>112016</v>
      </c>
      <c r="D119" s="134">
        <v>98260</v>
      </c>
      <c r="E119" s="134"/>
      <c r="F119" s="134"/>
      <c r="G119" s="134"/>
      <c r="H119" s="134">
        <v>13756</v>
      </c>
      <c r="I119" s="134"/>
      <c r="J119" s="134"/>
      <c r="K119" s="135">
        <v>0</v>
      </c>
      <c r="L119" s="136"/>
      <c r="M119" s="136">
        <f t="shared" si="2"/>
        <v>0</v>
      </c>
      <c r="N119" s="331"/>
    </row>
    <row r="120" spans="1:14">
      <c r="A120" s="132">
        <v>42308</v>
      </c>
      <c r="B120" s="133" t="s">
        <v>236</v>
      </c>
      <c r="C120" s="134">
        <v>134691</v>
      </c>
      <c r="D120" s="134">
        <v>118150</v>
      </c>
      <c r="E120" s="134"/>
      <c r="F120" s="134"/>
      <c r="G120" s="134"/>
      <c r="H120" s="134">
        <v>16541</v>
      </c>
      <c r="I120" s="134"/>
      <c r="J120" s="134"/>
      <c r="K120" s="135">
        <v>0</v>
      </c>
      <c r="L120" s="136"/>
      <c r="M120" s="136">
        <f t="shared" si="2"/>
        <v>0</v>
      </c>
      <c r="N120" s="331"/>
    </row>
    <row r="121" spans="1:14">
      <c r="A121" s="132">
        <v>42308</v>
      </c>
      <c r="B121" s="133" t="s">
        <v>232</v>
      </c>
      <c r="C121" s="134">
        <v>620160</v>
      </c>
      <c r="D121" s="134">
        <v>544000</v>
      </c>
      <c r="E121" s="134"/>
      <c r="F121" s="134"/>
      <c r="G121" s="134"/>
      <c r="H121" s="134">
        <v>76160</v>
      </c>
      <c r="I121" s="134"/>
      <c r="J121" s="134"/>
      <c r="K121" s="135">
        <f t="shared" si="3"/>
        <v>10880</v>
      </c>
      <c r="L121" s="136">
        <v>10880</v>
      </c>
      <c r="M121" s="136">
        <f t="shared" si="2"/>
        <v>0</v>
      </c>
      <c r="N121" s="331"/>
    </row>
    <row r="122" spans="1:14">
      <c r="A122" s="132">
        <v>42308</v>
      </c>
      <c r="B122" s="133" t="s">
        <v>238</v>
      </c>
      <c r="C122" s="134">
        <v>150155</v>
      </c>
      <c r="D122" s="134">
        <v>131715</v>
      </c>
      <c r="E122" s="134"/>
      <c r="F122" s="134"/>
      <c r="G122" s="134"/>
      <c r="H122" s="134">
        <v>18440</v>
      </c>
      <c r="I122" s="134"/>
      <c r="J122" s="134"/>
      <c r="K122" s="135">
        <f t="shared" si="3"/>
        <v>2634.3</v>
      </c>
      <c r="L122" s="136">
        <v>2634</v>
      </c>
      <c r="M122" s="136">
        <f t="shared" si="2"/>
        <v>0.3000000000001819</v>
      </c>
      <c r="N122" s="331"/>
    </row>
    <row r="123" spans="1:14">
      <c r="A123" s="132">
        <v>42308</v>
      </c>
      <c r="B123" s="133" t="s">
        <v>238</v>
      </c>
      <c r="C123" s="134">
        <v>124503</v>
      </c>
      <c r="D123" s="134">
        <v>109213</v>
      </c>
      <c r="E123" s="134"/>
      <c r="F123" s="134"/>
      <c r="G123" s="134"/>
      <c r="H123" s="134">
        <v>15290</v>
      </c>
      <c r="I123" s="134"/>
      <c r="J123" s="134"/>
      <c r="K123" s="135">
        <f t="shared" si="3"/>
        <v>2184.2600000000002</v>
      </c>
      <c r="L123" s="136">
        <v>2184</v>
      </c>
      <c r="M123" s="136">
        <f t="shared" si="2"/>
        <v>0.26000000000021828</v>
      </c>
      <c r="N123" s="331"/>
    </row>
    <row r="124" spans="1:14">
      <c r="A124" s="132">
        <v>42308</v>
      </c>
      <c r="B124" s="133" t="s">
        <v>238</v>
      </c>
      <c r="C124" s="134">
        <v>606954</v>
      </c>
      <c r="D124" s="134">
        <v>532416</v>
      </c>
      <c r="E124" s="134"/>
      <c r="F124" s="134"/>
      <c r="G124" s="134"/>
      <c r="H124" s="134">
        <v>74538</v>
      </c>
      <c r="I124" s="134"/>
      <c r="J124" s="134"/>
      <c r="K124" s="135">
        <f t="shared" si="3"/>
        <v>10648.32</v>
      </c>
      <c r="L124" s="136">
        <v>10648</v>
      </c>
      <c r="M124" s="136">
        <f t="shared" si="2"/>
        <v>0.31999999999970896</v>
      </c>
      <c r="N124" s="331"/>
    </row>
    <row r="125" spans="1:14">
      <c r="A125" s="132">
        <v>42308</v>
      </c>
      <c r="B125" s="133" t="s">
        <v>238</v>
      </c>
      <c r="C125" s="134">
        <v>1317917</v>
      </c>
      <c r="D125" s="134">
        <v>1156068</v>
      </c>
      <c r="E125" s="134"/>
      <c r="F125" s="134"/>
      <c r="G125" s="134"/>
      <c r="H125" s="134">
        <v>161849</v>
      </c>
      <c r="I125" s="134"/>
      <c r="J125" s="134"/>
      <c r="K125" s="135">
        <f t="shared" si="3"/>
        <v>23121.360000000001</v>
      </c>
      <c r="L125" s="136">
        <v>23121</v>
      </c>
      <c r="M125" s="136">
        <f t="shared" si="2"/>
        <v>0.36000000000058208</v>
      </c>
      <c r="N125" s="331"/>
    </row>
    <row r="126" spans="1:14">
      <c r="A126" s="132">
        <v>42322</v>
      </c>
      <c r="B126" s="133" t="s">
        <v>232</v>
      </c>
      <c r="C126" s="134">
        <v>271320</v>
      </c>
      <c r="D126" s="134">
        <v>238000</v>
      </c>
      <c r="E126" s="134"/>
      <c r="F126" s="134"/>
      <c r="G126" s="134"/>
      <c r="H126" s="134">
        <v>33320</v>
      </c>
      <c r="I126" s="134"/>
      <c r="J126" s="134"/>
      <c r="K126" s="135">
        <f t="shared" si="3"/>
        <v>4760</v>
      </c>
      <c r="L126" s="136">
        <v>4541</v>
      </c>
      <c r="M126" s="136">
        <f t="shared" si="2"/>
        <v>219</v>
      </c>
      <c r="N126" s="331">
        <v>33126</v>
      </c>
    </row>
    <row r="127" spans="1:14">
      <c r="A127" s="132">
        <v>42322</v>
      </c>
      <c r="B127" s="133" t="s">
        <v>236</v>
      </c>
      <c r="C127" s="134">
        <v>62403</v>
      </c>
      <c r="D127" s="134">
        <v>54740</v>
      </c>
      <c r="E127" s="134"/>
      <c r="F127" s="134"/>
      <c r="G127" s="134"/>
      <c r="H127" s="134">
        <v>7663</v>
      </c>
      <c r="I127" s="134"/>
      <c r="J127" s="134"/>
      <c r="K127" s="135">
        <v>0</v>
      </c>
      <c r="L127" s="136"/>
      <c r="M127" s="136">
        <f t="shared" si="2"/>
        <v>0</v>
      </c>
      <c r="N127" s="331"/>
    </row>
    <row r="128" spans="1:14">
      <c r="A128" s="132">
        <v>42322</v>
      </c>
      <c r="B128" s="133" t="s">
        <v>238</v>
      </c>
      <c r="C128" s="134">
        <v>44190</v>
      </c>
      <c r="D128" s="134">
        <v>43281</v>
      </c>
      <c r="E128" s="134"/>
      <c r="F128" s="134"/>
      <c r="G128" s="134"/>
      <c r="H128" s="134">
        <v>909</v>
      </c>
      <c r="I128" s="134">
        <v>43281</v>
      </c>
      <c r="J128" s="134"/>
      <c r="K128" s="135">
        <f t="shared" si="3"/>
        <v>865.62</v>
      </c>
      <c r="L128" s="136">
        <v>866</v>
      </c>
      <c r="M128" s="136">
        <f t="shared" si="2"/>
        <v>-0.37999999999999545</v>
      </c>
      <c r="N128" s="331"/>
    </row>
    <row r="129" spans="1:14">
      <c r="A129" s="132">
        <v>42322</v>
      </c>
      <c r="B129" s="133" t="s">
        <v>238</v>
      </c>
      <c r="C129" s="134">
        <v>144969</v>
      </c>
      <c r="D129" s="134">
        <v>127166</v>
      </c>
      <c r="E129" s="134"/>
      <c r="F129" s="134"/>
      <c r="G129" s="134"/>
      <c r="H129" s="134">
        <v>17803</v>
      </c>
      <c r="I129" s="134">
        <v>127166</v>
      </c>
      <c r="J129" s="134"/>
      <c r="K129" s="135">
        <f t="shared" si="3"/>
        <v>2543.3200000000002</v>
      </c>
      <c r="L129" s="136">
        <v>2543</v>
      </c>
      <c r="M129" s="136">
        <f t="shared" si="2"/>
        <v>0.32000000000016371</v>
      </c>
      <c r="N129" s="331"/>
    </row>
    <row r="130" spans="1:14">
      <c r="A130" s="132">
        <v>42322</v>
      </c>
      <c r="B130" s="133" t="s">
        <v>239</v>
      </c>
      <c r="C130" s="134">
        <v>47966</v>
      </c>
      <c r="D130" s="134">
        <v>42075</v>
      </c>
      <c r="E130" s="134"/>
      <c r="F130" s="134"/>
      <c r="G130" s="134"/>
      <c r="H130" s="134">
        <v>5891</v>
      </c>
      <c r="I130" s="134"/>
      <c r="J130" s="134"/>
      <c r="K130" s="135">
        <f t="shared" si="3"/>
        <v>841.5</v>
      </c>
      <c r="L130" s="136">
        <v>842</v>
      </c>
      <c r="M130" s="136">
        <f t="shared" si="2"/>
        <v>-0.5</v>
      </c>
      <c r="N130" s="331"/>
    </row>
    <row r="131" spans="1:14">
      <c r="A131" s="132">
        <v>42322</v>
      </c>
      <c r="B131" s="133" t="s">
        <v>238</v>
      </c>
      <c r="C131" s="134">
        <v>859891</v>
      </c>
      <c r="D131" s="134">
        <v>754290</v>
      </c>
      <c r="E131" s="134"/>
      <c r="F131" s="134"/>
      <c r="G131" s="134"/>
      <c r="H131" s="134">
        <v>105601</v>
      </c>
      <c r="I131" s="134">
        <v>754290</v>
      </c>
      <c r="J131" s="134"/>
      <c r="K131" s="135">
        <f t="shared" si="3"/>
        <v>15085.800000000001</v>
      </c>
      <c r="L131" s="136">
        <v>15086</v>
      </c>
      <c r="M131" s="136">
        <f t="shared" si="2"/>
        <v>-0.19999999999890861</v>
      </c>
      <c r="N131" s="331"/>
    </row>
    <row r="132" spans="1:14">
      <c r="A132" s="132">
        <v>42338</v>
      </c>
      <c r="B132" s="133" t="s">
        <v>238</v>
      </c>
      <c r="C132" s="134">
        <v>99855</v>
      </c>
      <c r="D132" s="134">
        <v>87210</v>
      </c>
      <c r="E132" s="134"/>
      <c r="F132" s="134"/>
      <c r="G132" s="134"/>
      <c r="H132" s="134">
        <v>12209</v>
      </c>
      <c r="I132" s="134">
        <v>87210</v>
      </c>
      <c r="J132" s="134">
        <v>436</v>
      </c>
      <c r="K132" s="135">
        <f t="shared" si="3"/>
        <v>1744.2</v>
      </c>
      <c r="L132" s="136">
        <v>1744</v>
      </c>
      <c r="M132" s="136">
        <f t="shared" ref="M132:M182" si="4">+K132-L132</f>
        <v>0.20000000000004547</v>
      </c>
      <c r="N132" s="331"/>
    </row>
    <row r="133" spans="1:14">
      <c r="A133" s="132">
        <v>42338</v>
      </c>
      <c r="B133" s="133" t="s">
        <v>239</v>
      </c>
      <c r="C133" s="134">
        <v>17518</v>
      </c>
      <c r="D133" s="134">
        <v>15299</v>
      </c>
      <c r="E133" s="134"/>
      <c r="F133" s="134"/>
      <c r="G133" s="134"/>
      <c r="H133" s="134">
        <v>2142</v>
      </c>
      <c r="I133" s="134"/>
      <c r="J133" s="134">
        <v>77</v>
      </c>
      <c r="K133" s="135">
        <f t="shared" ref="K133:K183" si="5">+D133*2%</f>
        <v>305.98</v>
      </c>
      <c r="L133" s="136">
        <v>306</v>
      </c>
      <c r="M133" s="136">
        <f t="shared" si="4"/>
        <v>-1.999999999998181E-2</v>
      </c>
      <c r="N133" s="331"/>
    </row>
    <row r="134" spans="1:14">
      <c r="A134" s="132">
        <v>42338</v>
      </c>
      <c r="B134" s="133" t="s">
        <v>236</v>
      </c>
      <c r="C134" s="134">
        <v>125744</v>
      </c>
      <c r="D134" s="134">
        <v>109820</v>
      </c>
      <c r="E134" s="134"/>
      <c r="F134" s="134"/>
      <c r="G134" s="134"/>
      <c r="H134" s="134">
        <v>15375</v>
      </c>
      <c r="I134" s="134"/>
      <c r="J134" s="134">
        <v>549</v>
      </c>
      <c r="K134" s="135">
        <v>0</v>
      </c>
      <c r="L134" s="136"/>
      <c r="M134" s="136">
        <f t="shared" si="4"/>
        <v>0</v>
      </c>
      <c r="N134" s="331"/>
    </row>
    <row r="135" spans="1:14">
      <c r="A135" s="132">
        <v>42338</v>
      </c>
      <c r="B135" s="133" t="s">
        <v>238</v>
      </c>
      <c r="C135" s="134">
        <v>803515</v>
      </c>
      <c r="D135" s="134">
        <v>701760</v>
      </c>
      <c r="E135" s="134"/>
      <c r="F135" s="134"/>
      <c r="G135" s="134"/>
      <c r="H135" s="134">
        <v>98246</v>
      </c>
      <c r="I135" s="134">
        <v>701760</v>
      </c>
      <c r="J135" s="134">
        <v>3509</v>
      </c>
      <c r="K135" s="135">
        <f t="shared" si="5"/>
        <v>14035.2</v>
      </c>
      <c r="L135" s="136">
        <v>14035</v>
      </c>
      <c r="M135" s="136">
        <f t="shared" si="4"/>
        <v>0.2000000000007276</v>
      </c>
      <c r="N135" s="331"/>
    </row>
    <row r="136" spans="1:14">
      <c r="A136" s="132">
        <v>42346</v>
      </c>
      <c r="B136" s="133" t="s">
        <v>242</v>
      </c>
      <c r="C136" s="134">
        <v>133200</v>
      </c>
      <c r="D136" s="134">
        <v>133200</v>
      </c>
      <c r="E136" s="134"/>
      <c r="F136" s="134"/>
      <c r="G136" s="134"/>
      <c r="H136" s="134"/>
      <c r="I136" s="134">
        <v>133200</v>
      </c>
      <c r="J136" s="134"/>
      <c r="K136" s="135">
        <v>0</v>
      </c>
      <c r="L136" s="136"/>
      <c r="M136" s="136">
        <f t="shared" si="4"/>
        <v>0</v>
      </c>
      <c r="N136" s="331">
        <v>24874</v>
      </c>
    </row>
    <row r="137" spans="1:14">
      <c r="A137" s="132">
        <v>42347</v>
      </c>
      <c r="B137" s="133" t="s">
        <v>241</v>
      </c>
      <c r="C137" s="134">
        <v>93500</v>
      </c>
      <c r="D137" s="134">
        <v>93500</v>
      </c>
      <c r="E137" s="134"/>
      <c r="F137" s="134"/>
      <c r="G137" s="134"/>
      <c r="H137" s="134"/>
      <c r="I137" s="134">
        <v>93500</v>
      </c>
      <c r="J137" s="134"/>
      <c r="K137" s="135">
        <v>0</v>
      </c>
      <c r="L137" s="136"/>
      <c r="M137" s="136">
        <f t="shared" si="4"/>
        <v>0</v>
      </c>
      <c r="N137" s="331"/>
    </row>
    <row r="138" spans="1:14">
      <c r="A138" s="132">
        <v>42353</v>
      </c>
      <c r="B138" s="133" t="s">
        <v>236</v>
      </c>
      <c r="C138" s="134">
        <v>31922</v>
      </c>
      <c r="D138" s="134">
        <v>27880</v>
      </c>
      <c r="E138" s="134"/>
      <c r="F138" s="134"/>
      <c r="G138" s="134"/>
      <c r="H138" s="134">
        <v>3903</v>
      </c>
      <c r="I138" s="134"/>
      <c r="J138" s="134">
        <v>139</v>
      </c>
      <c r="K138" s="135">
        <v>0</v>
      </c>
      <c r="L138" s="136"/>
      <c r="M138" s="136">
        <f t="shared" si="4"/>
        <v>0</v>
      </c>
      <c r="N138" s="331"/>
    </row>
    <row r="139" spans="1:14">
      <c r="A139" s="132">
        <v>42353</v>
      </c>
      <c r="B139" s="133" t="s">
        <v>239</v>
      </c>
      <c r="C139" s="134">
        <v>26278</v>
      </c>
      <c r="D139" s="134">
        <v>22950</v>
      </c>
      <c r="E139" s="134"/>
      <c r="F139" s="134"/>
      <c r="G139" s="134"/>
      <c r="H139" s="134">
        <v>3213</v>
      </c>
      <c r="I139" s="134"/>
      <c r="J139" s="134">
        <v>115</v>
      </c>
      <c r="K139" s="135">
        <f t="shared" si="5"/>
        <v>459</v>
      </c>
      <c r="L139" s="136">
        <v>479</v>
      </c>
      <c r="M139" s="136">
        <f t="shared" si="4"/>
        <v>-20</v>
      </c>
      <c r="N139" s="331"/>
    </row>
    <row r="140" spans="1:14">
      <c r="A140" s="132">
        <v>42353</v>
      </c>
      <c r="B140" s="133" t="s">
        <v>236</v>
      </c>
      <c r="C140" s="134">
        <v>51525</v>
      </c>
      <c r="D140" s="134">
        <v>45000</v>
      </c>
      <c r="E140" s="134"/>
      <c r="F140" s="134"/>
      <c r="G140" s="134"/>
      <c r="H140" s="134">
        <v>6300</v>
      </c>
      <c r="I140" s="134"/>
      <c r="J140" s="134">
        <v>225</v>
      </c>
      <c r="K140" s="135">
        <v>0</v>
      </c>
      <c r="L140" s="136"/>
      <c r="M140" s="136">
        <f t="shared" si="4"/>
        <v>0</v>
      </c>
      <c r="N140" s="331"/>
    </row>
    <row r="141" spans="1:14">
      <c r="A141" s="132">
        <v>42353</v>
      </c>
      <c r="B141" s="133" t="s">
        <v>236</v>
      </c>
      <c r="C141" s="134">
        <v>85875</v>
      </c>
      <c r="D141" s="134">
        <v>75000</v>
      </c>
      <c r="E141" s="134"/>
      <c r="F141" s="134"/>
      <c r="G141" s="134"/>
      <c r="H141" s="134">
        <v>10500</v>
      </c>
      <c r="I141" s="134"/>
      <c r="J141" s="134">
        <v>375</v>
      </c>
      <c r="K141" s="135">
        <v>0</v>
      </c>
      <c r="L141" s="136"/>
      <c r="M141" s="136">
        <f t="shared" si="4"/>
        <v>0</v>
      </c>
      <c r="N141" s="331"/>
    </row>
    <row r="142" spans="1:14">
      <c r="A142" s="132">
        <v>42369</v>
      </c>
      <c r="B142" s="133" t="s">
        <v>239</v>
      </c>
      <c r="C142" s="134">
        <v>21898</v>
      </c>
      <c r="D142" s="134">
        <v>19125</v>
      </c>
      <c r="E142" s="134"/>
      <c r="F142" s="134"/>
      <c r="G142" s="134"/>
      <c r="H142" s="134">
        <v>2678</v>
      </c>
      <c r="I142" s="134"/>
      <c r="J142" s="134">
        <v>95</v>
      </c>
      <c r="K142" s="135">
        <f t="shared" si="5"/>
        <v>382.5</v>
      </c>
      <c r="L142" s="136">
        <v>842</v>
      </c>
      <c r="M142" s="136">
        <f t="shared" si="4"/>
        <v>-459.5</v>
      </c>
      <c r="N142" s="331"/>
    </row>
    <row r="143" spans="1:14">
      <c r="A143" s="132">
        <v>42369</v>
      </c>
      <c r="B143" s="133" t="s">
        <v>238</v>
      </c>
      <c r="C143" s="134">
        <v>96352</v>
      </c>
      <c r="D143" s="134">
        <v>84150</v>
      </c>
      <c r="E143" s="134"/>
      <c r="F143" s="134"/>
      <c r="G143" s="134"/>
      <c r="H143" s="134">
        <v>11781</v>
      </c>
      <c r="I143" s="134">
        <v>84150</v>
      </c>
      <c r="J143" s="134">
        <v>421</v>
      </c>
      <c r="K143" s="135">
        <f t="shared" si="5"/>
        <v>1683</v>
      </c>
      <c r="L143" s="136">
        <v>1683</v>
      </c>
      <c r="M143" s="136">
        <f t="shared" si="4"/>
        <v>0</v>
      </c>
      <c r="N143" s="331"/>
    </row>
    <row r="144" spans="1:14">
      <c r="A144" s="132">
        <v>42369</v>
      </c>
      <c r="B144" s="133" t="s">
        <v>238</v>
      </c>
      <c r="C144" s="134">
        <v>43023</v>
      </c>
      <c r="D144" s="134">
        <v>37574</v>
      </c>
      <c r="E144" s="134"/>
      <c r="F144" s="134"/>
      <c r="G144" s="134"/>
      <c r="H144" s="134">
        <v>5260</v>
      </c>
      <c r="I144" s="134">
        <v>37574</v>
      </c>
      <c r="J144" s="134">
        <v>189</v>
      </c>
      <c r="K144" s="135">
        <f t="shared" si="5"/>
        <v>751.48</v>
      </c>
      <c r="L144" s="136">
        <v>751</v>
      </c>
      <c r="M144" s="136">
        <f t="shared" si="4"/>
        <v>0.48000000000001819</v>
      </c>
      <c r="N144" s="331"/>
    </row>
    <row r="145" spans="1:14">
      <c r="A145" s="132">
        <v>42369</v>
      </c>
      <c r="B145" s="133" t="s">
        <v>238</v>
      </c>
      <c r="C145" s="134">
        <v>128813</v>
      </c>
      <c r="D145" s="134">
        <v>112500</v>
      </c>
      <c r="E145" s="134"/>
      <c r="F145" s="134"/>
      <c r="G145" s="134"/>
      <c r="H145" s="134">
        <v>15750</v>
      </c>
      <c r="I145" s="134"/>
      <c r="J145" s="134">
        <v>563</v>
      </c>
      <c r="K145" s="135">
        <f t="shared" si="5"/>
        <v>2250</v>
      </c>
      <c r="L145" s="136">
        <v>2250</v>
      </c>
      <c r="M145" s="136">
        <f t="shared" si="4"/>
        <v>0</v>
      </c>
      <c r="N145" s="331"/>
    </row>
    <row r="146" spans="1:14">
      <c r="A146" s="132">
        <v>42369</v>
      </c>
      <c r="B146" s="133" t="s">
        <v>238</v>
      </c>
      <c r="C146" s="134">
        <v>629212</v>
      </c>
      <c r="D146" s="134">
        <v>549530</v>
      </c>
      <c r="E146" s="134"/>
      <c r="F146" s="134"/>
      <c r="G146" s="134"/>
      <c r="H146" s="134">
        <v>76934</v>
      </c>
      <c r="I146" s="134"/>
      <c r="J146" s="134">
        <v>2748</v>
      </c>
      <c r="K146" s="135">
        <f t="shared" si="5"/>
        <v>10990.6</v>
      </c>
      <c r="L146" s="136">
        <v>10991</v>
      </c>
      <c r="M146" s="136">
        <f t="shared" si="4"/>
        <v>-0.3999999999996362</v>
      </c>
      <c r="N146" s="331"/>
    </row>
    <row r="147" spans="1:14">
      <c r="A147" s="132">
        <v>42369</v>
      </c>
      <c r="B147" s="133" t="s">
        <v>238</v>
      </c>
      <c r="C147" s="134">
        <v>197842</v>
      </c>
      <c r="D147" s="134">
        <v>172788</v>
      </c>
      <c r="E147" s="134"/>
      <c r="F147" s="134"/>
      <c r="G147" s="134"/>
      <c r="H147" s="134">
        <v>24190</v>
      </c>
      <c r="I147" s="134"/>
      <c r="J147" s="134">
        <v>864</v>
      </c>
      <c r="K147" s="135">
        <f t="shared" si="5"/>
        <v>3455.76</v>
      </c>
      <c r="L147" s="136">
        <v>3456</v>
      </c>
      <c r="M147" s="136">
        <f t="shared" si="4"/>
        <v>-0.23999999999978172</v>
      </c>
      <c r="N147" s="331"/>
    </row>
    <row r="148" spans="1:14">
      <c r="A148" s="132">
        <v>42369</v>
      </c>
      <c r="B148" s="133" t="s">
        <v>238</v>
      </c>
      <c r="C148" s="134">
        <v>22111</v>
      </c>
      <c r="D148" s="134">
        <v>21640</v>
      </c>
      <c r="E148" s="134"/>
      <c r="F148" s="134"/>
      <c r="G148" s="134"/>
      <c r="H148" s="134">
        <v>454</v>
      </c>
      <c r="I148" s="134">
        <v>21640</v>
      </c>
      <c r="J148" s="134">
        <v>17</v>
      </c>
      <c r="K148" s="135">
        <f t="shared" si="5"/>
        <v>432.8</v>
      </c>
      <c r="L148" s="136">
        <v>433</v>
      </c>
      <c r="M148" s="136">
        <f t="shared" si="4"/>
        <v>-0.19999999999998863</v>
      </c>
      <c r="N148" s="331"/>
    </row>
    <row r="149" spans="1:14">
      <c r="A149" s="132">
        <v>42369</v>
      </c>
      <c r="B149" s="133" t="s">
        <v>236</v>
      </c>
      <c r="C149" s="134">
        <v>51525</v>
      </c>
      <c r="D149" s="134">
        <v>45000</v>
      </c>
      <c r="E149" s="134"/>
      <c r="F149" s="134"/>
      <c r="G149" s="134"/>
      <c r="H149" s="134">
        <v>6300</v>
      </c>
      <c r="I149" s="134"/>
      <c r="J149" s="134">
        <v>225</v>
      </c>
      <c r="K149" s="135">
        <v>0</v>
      </c>
      <c r="L149" s="136"/>
      <c r="M149" s="136">
        <f t="shared" si="4"/>
        <v>0</v>
      </c>
      <c r="N149" s="331"/>
    </row>
    <row r="150" spans="1:14">
      <c r="A150" s="132">
        <v>42369</v>
      </c>
      <c r="B150" s="133" t="s">
        <v>236</v>
      </c>
      <c r="C150" s="134">
        <v>84730</v>
      </c>
      <c r="D150" s="134">
        <v>74000</v>
      </c>
      <c r="E150" s="134"/>
      <c r="F150" s="134"/>
      <c r="G150" s="134"/>
      <c r="H150" s="134">
        <v>10360</v>
      </c>
      <c r="I150" s="134"/>
      <c r="J150" s="134">
        <v>370</v>
      </c>
      <c r="K150" s="135">
        <v>0</v>
      </c>
      <c r="L150" s="136"/>
      <c r="M150" s="136">
        <f t="shared" si="4"/>
        <v>0</v>
      </c>
      <c r="N150" s="331"/>
    </row>
    <row r="151" spans="1:14">
      <c r="A151" s="132">
        <v>42369</v>
      </c>
      <c r="B151" s="133" t="s">
        <v>239</v>
      </c>
      <c r="C151" s="134">
        <v>18892</v>
      </c>
      <c r="D151" s="134">
        <v>16500</v>
      </c>
      <c r="E151" s="134"/>
      <c r="F151" s="134"/>
      <c r="G151" s="134"/>
      <c r="H151" s="134">
        <v>2310</v>
      </c>
      <c r="I151" s="134"/>
      <c r="J151" s="134">
        <v>82</v>
      </c>
      <c r="K151" s="135">
        <f t="shared" si="5"/>
        <v>330</v>
      </c>
      <c r="L151" s="136">
        <v>330</v>
      </c>
      <c r="M151" s="136">
        <f t="shared" si="4"/>
        <v>0</v>
      </c>
      <c r="N151" s="331"/>
    </row>
    <row r="152" spans="1:14">
      <c r="A152" s="132">
        <v>42352</v>
      </c>
      <c r="B152" s="133" t="s">
        <v>240</v>
      </c>
      <c r="C152" s="134">
        <v>0</v>
      </c>
      <c r="D152" s="134">
        <v>0</v>
      </c>
      <c r="E152" s="134"/>
      <c r="F152" s="134"/>
      <c r="G152" s="134"/>
      <c r="H152" s="134"/>
      <c r="I152" s="134"/>
      <c r="J152" s="134"/>
      <c r="K152" s="135">
        <v>0</v>
      </c>
      <c r="L152" s="136">
        <v>4520</v>
      </c>
      <c r="M152" s="136">
        <f t="shared" si="4"/>
        <v>-4520</v>
      </c>
      <c r="N152" s="331"/>
    </row>
    <row r="153" spans="1:14">
      <c r="A153" s="132">
        <v>42373</v>
      </c>
      <c r="B153" s="133" t="s">
        <v>240</v>
      </c>
      <c r="C153" s="134">
        <v>258770</v>
      </c>
      <c r="D153" s="134">
        <v>226000</v>
      </c>
      <c r="E153" s="134"/>
      <c r="F153" s="134"/>
      <c r="G153" s="134"/>
      <c r="H153" s="134">
        <v>31640</v>
      </c>
      <c r="I153" s="134">
        <v>226000</v>
      </c>
      <c r="J153" s="134">
        <v>1130</v>
      </c>
      <c r="K153" s="135">
        <f t="shared" si="5"/>
        <v>4520</v>
      </c>
      <c r="L153" s="136"/>
      <c r="M153" s="136">
        <f t="shared" si="4"/>
        <v>4520</v>
      </c>
      <c r="N153" s="331">
        <v>21273</v>
      </c>
    </row>
    <row r="154" spans="1:14">
      <c r="A154" s="132">
        <v>42384</v>
      </c>
      <c r="B154" s="133" t="s">
        <v>239</v>
      </c>
      <c r="C154" s="134">
        <v>27394</v>
      </c>
      <c r="D154" s="134">
        <v>23925</v>
      </c>
      <c r="E154" s="134"/>
      <c r="F154" s="134"/>
      <c r="G154" s="134"/>
      <c r="H154" s="134">
        <v>3350</v>
      </c>
      <c r="I154" s="134"/>
      <c r="J154" s="134">
        <v>119</v>
      </c>
      <c r="K154" s="135">
        <f t="shared" si="5"/>
        <v>478.5</v>
      </c>
      <c r="L154" s="136"/>
      <c r="M154" s="136">
        <f t="shared" si="4"/>
        <v>478.5</v>
      </c>
      <c r="N154" s="331"/>
    </row>
    <row r="155" spans="1:14">
      <c r="A155" s="132">
        <v>42399</v>
      </c>
      <c r="B155" s="133" t="s">
        <v>234</v>
      </c>
      <c r="C155" s="134">
        <v>44910</v>
      </c>
      <c r="D155" s="134">
        <v>44783</v>
      </c>
      <c r="E155" s="134"/>
      <c r="F155" s="134"/>
      <c r="G155" s="134"/>
      <c r="H155" s="134">
        <v>123</v>
      </c>
      <c r="I155" s="134">
        <v>44783</v>
      </c>
      <c r="J155" s="134">
        <v>4</v>
      </c>
      <c r="K155" s="135">
        <f t="shared" si="5"/>
        <v>895.66</v>
      </c>
      <c r="L155" s="136">
        <v>816</v>
      </c>
      <c r="M155" s="136">
        <f t="shared" si="4"/>
        <v>79.659999999999968</v>
      </c>
      <c r="N155" s="331"/>
    </row>
    <row r="156" spans="1:14">
      <c r="A156" s="132">
        <v>42399</v>
      </c>
      <c r="B156" s="133" t="s">
        <v>234</v>
      </c>
      <c r="C156" s="134">
        <v>68614</v>
      </c>
      <c r="D156" s="134">
        <v>59925</v>
      </c>
      <c r="E156" s="134"/>
      <c r="F156" s="134"/>
      <c r="G156" s="134"/>
      <c r="H156" s="134">
        <v>8390</v>
      </c>
      <c r="I156" s="134"/>
      <c r="J156" s="134">
        <v>299</v>
      </c>
      <c r="K156" s="135">
        <f t="shared" si="5"/>
        <v>1198.5</v>
      </c>
      <c r="L156" s="136">
        <v>1199</v>
      </c>
      <c r="M156" s="136">
        <f t="shared" si="4"/>
        <v>-0.5</v>
      </c>
      <c r="N156" s="331"/>
    </row>
    <row r="157" spans="1:14">
      <c r="A157" s="132">
        <v>42399</v>
      </c>
      <c r="B157" s="133" t="s">
        <v>238</v>
      </c>
      <c r="C157" s="134">
        <v>46735</v>
      </c>
      <c r="D157" s="134">
        <v>40817</v>
      </c>
      <c r="E157" s="134"/>
      <c r="F157" s="134"/>
      <c r="G157" s="134"/>
      <c r="H157" s="134">
        <v>5714</v>
      </c>
      <c r="I157" s="134"/>
      <c r="J157" s="134">
        <v>204</v>
      </c>
      <c r="K157" s="135">
        <f t="shared" si="5"/>
        <v>816.34</v>
      </c>
      <c r="L157" s="136">
        <v>816</v>
      </c>
      <c r="M157" s="136">
        <f t="shared" si="4"/>
        <v>0.34000000000003183</v>
      </c>
      <c r="N157" s="331"/>
    </row>
    <row r="158" spans="1:14">
      <c r="A158" s="132">
        <v>42399</v>
      </c>
      <c r="B158" s="133" t="s">
        <v>238</v>
      </c>
      <c r="C158" s="134">
        <v>157279</v>
      </c>
      <c r="D158" s="134">
        <v>153931</v>
      </c>
      <c r="E158" s="134"/>
      <c r="F158" s="134"/>
      <c r="G158" s="134"/>
      <c r="H158" s="134">
        <v>3233</v>
      </c>
      <c r="I158" s="134">
        <v>153931</v>
      </c>
      <c r="J158" s="134">
        <v>115</v>
      </c>
      <c r="K158" s="135">
        <f t="shared" si="5"/>
        <v>3078.62</v>
      </c>
      <c r="L158" s="136">
        <v>3079</v>
      </c>
      <c r="M158" s="136">
        <f t="shared" si="4"/>
        <v>-0.38000000000010914</v>
      </c>
      <c r="N158" s="331"/>
    </row>
    <row r="159" spans="1:14">
      <c r="A159" s="132">
        <v>42399</v>
      </c>
      <c r="B159" s="133" t="s">
        <v>238</v>
      </c>
      <c r="C159" s="134">
        <v>290655</v>
      </c>
      <c r="D159" s="134">
        <v>253848</v>
      </c>
      <c r="E159" s="134"/>
      <c r="F159" s="134"/>
      <c r="G159" s="134"/>
      <c r="H159" s="134">
        <v>35539</v>
      </c>
      <c r="I159" s="134"/>
      <c r="J159" s="134">
        <v>1268</v>
      </c>
      <c r="K159" s="135">
        <f t="shared" si="5"/>
        <v>5076.96</v>
      </c>
      <c r="L159" s="136">
        <v>5059</v>
      </c>
      <c r="M159" s="136">
        <f t="shared" si="4"/>
        <v>17.960000000000036</v>
      </c>
      <c r="N159" s="331"/>
    </row>
    <row r="160" spans="1:14">
      <c r="A160" s="132">
        <v>42400</v>
      </c>
      <c r="B160" s="133" t="s">
        <v>238</v>
      </c>
      <c r="C160" s="134">
        <v>564059</v>
      </c>
      <c r="D160" s="134">
        <v>492628</v>
      </c>
      <c r="E160" s="134"/>
      <c r="F160" s="134"/>
      <c r="G160" s="134"/>
      <c r="H160" s="134">
        <v>68968</v>
      </c>
      <c r="I160" s="134"/>
      <c r="J160" s="134">
        <v>2463</v>
      </c>
      <c r="K160" s="135">
        <f t="shared" si="5"/>
        <v>9852.56</v>
      </c>
      <c r="L160" s="136">
        <v>9853</v>
      </c>
      <c r="M160" s="136">
        <f t="shared" si="4"/>
        <v>-0.44000000000050932</v>
      </c>
      <c r="N160" s="331"/>
    </row>
    <row r="161" spans="1:14">
      <c r="A161" s="132">
        <v>42415</v>
      </c>
      <c r="B161" s="133" t="s">
        <v>236</v>
      </c>
      <c r="C161" s="134">
        <v>100829</v>
      </c>
      <c r="D161" s="134">
        <v>88060</v>
      </c>
      <c r="E161" s="134"/>
      <c r="F161" s="134"/>
      <c r="G161" s="134"/>
      <c r="H161" s="134">
        <v>12328</v>
      </c>
      <c r="I161" s="134"/>
      <c r="J161" s="134">
        <v>441</v>
      </c>
      <c r="K161" s="135">
        <v>0</v>
      </c>
      <c r="L161" s="136"/>
      <c r="M161" s="136">
        <f t="shared" si="4"/>
        <v>0</v>
      </c>
      <c r="N161" s="331">
        <v>24342</v>
      </c>
    </row>
    <row r="162" spans="1:14">
      <c r="A162" s="132">
        <v>42429</v>
      </c>
      <c r="B162" s="133" t="s">
        <v>236</v>
      </c>
      <c r="C162" s="134">
        <v>98882</v>
      </c>
      <c r="D162" s="134">
        <v>86360</v>
      </c>
      <c r="E162" s="134"/>
      <c r="F162" s="134"/>
      <c r="G162" s="134"/>
      <c r="H162" s="134">
        <v>12090</v>
      </c>
      <c r="I162" s="134"/>
      <c r="J162" s="134">
        <v>432</v>
      </c>
      <c r="K162" s="135">
        <v>0</v>
      </c>
      <c r="L162" s="136"/>
      <c r="M162" s="136">
        <f t="shared" si="4"/>
        <v>0</v>
      </c>
      <c r="N162" s="331"/>
    </row>
    <row r="163" spans="1:14">
      <c r="A163" s="132">
        <v>42429</v>
      </c>
      <c r="B163" s="133" t="s">
        <v>234</v>
      </c>
      <c r="C163" s="134">
        <v>172343</v>
      </c>
      <c r="D163" s="134">
        <v>150518</v>
      </c>
      <c r="E163" s="134"/>
      <c r="F163" s="134"/>
      <c r="G163" s="134"/>
      <c r="H163" s="134">
        <v>21073</v>
      </c>
      <c r="I163" s="134"/>
      <c r="J163" s="134">
        <v>752</v>
      </c>
      <c r="K163" s="135">
        <f t="shared" si="5"/>
        <v>3010.36</v>
      </c>
      <c r="L163" s="136">
        <v>3010</v>
      </c>
      <c r="M163" s="136">
        <f t="shared" si="4"/>
        <v>0.36000000000012733</v>
      </c>
      <c r="N163" s="331"/>
    </row>
    <row r="164" spans="1:14">
      <c r="A164" s="132">
        <v>42429</v>
      </c>
      <c r="B164" s="133" t="s">
        <v>234</v>
      </c>
      <c r="C164" s="134">
        <v>20633</v>
      </c>
      <c r="D164" s="134">
        <v>18020</v>
      </c>
      <c r="E164" s="134"/>
      <c r="F164" s="134"/>
      <c r="G164" s="134"/>
      <c r="H164" s="134">
        <v>2523</v>
      </c>
      <c r="I164" s="134"/>
      <c r="J164" s="134">
        <v>90</v>
      </c>
      <c r="K164" s="135">
        <f t="shared" si="5"/>
        <v>360.40000000000003</v>
      </c>
      <c r="L164" s="136">
        <v>360</v>
      </c>
      <c r="M164" s="136">
        <f t="shared" si="4"/>
        <v>0.40000000000003411</v>
      </c>
      <c r="N164" s="331"/>
    </row>
    <row r="165" spans="1:14">
      <c r="A165" s="132">
        <v>42429</v>
      </c>
      <c r="B165" s="133" t="s">
        <v>234</v>
      </c>
      <c r="C165" s="134">
        <v>237814</v>
      </c>
      <c r="D165" s="134">
        <v>207698</v>
      </c>
      <c r="E165" s="134"/>
      <c r="F165" s="134"/>
      <c r="G165" s="134"/>
      <c r="H165" s="134">
        <v>29078</v>
      </c>
      <c r="I165" s="134"/>
      <c r="J165" s="134">
        <v>1038</v>
      </c>
      <c r="K165" s="135">
        <f t="shared" si="5"/>
        <v>4153.96</v>
      </c>
      <c r="L165" s="136">
        <v>4154</v>
      </c>
      <c r="M165" s="136">
        <f t="shared" si="4"/>
        <v>-3.999999999996362E-2</v>
      </c>
      <c r="N165" s="331"/>
    </row>
    <row r="166" spans="1:14">
      <c r="A166" s="132">
        <v>42429</v>
      </c>
      <c r="B166" s="133" t="s">
        <v>234</v>
      </c>
      <c r="C166" s="134">
        <v>837822</v>
      </c>
      <c r="D166" s="134">
        <v>731723</v>
      </c>
      <c r="E166" s="134"/>
      <c r="F166" s="134"/>
      <c r="G166" s="134"/>
      <c r="H166" s="134">
        <v>102441</v>
      </c>
      <c r="I166" s="134"/>
      <c r="J166" s="134">
        <v>3658</v>
      </c>
      <c r="K166" s="135">
        <f t="shared" si="5"/>
        <v>14634.460000000001</v>
      </c>
      <c r="L166" s="136">
        <v>14634</v>
      </c>
      <c r="M166" s="136">
        <f t="shared" si="4"/>
        <v>0.46000000000094587</v>
      </c>
      <c r="N166" s="331"/>
    </row>
    <row r="167" spans="1:14">
      <c r="A167" s="132">
        <v>42429</v>
      </c>
      <c r="B167" s="133" t="s">
        <v>234</v>
      </c>
      <c r="C167" s="134">
        <v>109458</v>
      </c>
      <c r="D167" s="134">
        <v>109148</v>
      </c>
      <c r="E167" s="134"/>
      <c r="F167" s="134"/>
      <c r="G167" s="134"/>
      <c r="H167" s="134">
        <v>300</v>
      </c>
      <c r="I167" s="134">
        <v>109148</v>
      </c>
      <c r="J167" s="134">
        <v>10</v>
      </c>
      <c r="K167" s="135">
        <f t="shared" si="5"/>
        <v>2182.96</v>
      </c>
      <c r="L167" s="136">
        <v>2183</v>
      </c>
      <c r="M167" s="136">
        <f t="shared" si="4"/>
        <v>-3.999999999996362E-2</v>
      </c>
      <c r="N167" s="331"/>
    </row>
    <row r="168" spans="1:14">
      <c r="A168" s="132">
        <v>42439</v>
      </c>
      <c r="B168" s="133" t="s">
        <v>237</v>
      </c>
      <c r="C168" s="134">
        <v>55250</v>
      </c>
      <c r="D168" s="134">
        <v>55250</v>
      </c>
      <c r="E168" s="134"/>
      <c r="F168" s="134"/>
      <c r="G168" s="134"/>
      <c r="H168" s="134"/>
      <c r="I168" s="134">
        <v>55250</v>
      </c>
      <c r="J168" s="134"/>
      <c r="K168" s="135">
        <v>0</v>
      </c>
      <c r="L168" s="136">
        <v>0</v>
      </c>
      <c r="M168" s="136">
        <f t="shared" si="4"/>
        <v>0</v>
      </c>
      <c r="N168" s="331">
        <v>36121</v>
      </c>
    </row>
    <row r="169" spans="1:14">
      <c r="A169" s="132">
        <v>42444</v>
      </c>
      <c r="B169" s="133" t="s">
        <v>236</v>
      </c>
      <c r="C169" s="134">
        <v>106278</v>
      </c>
      <c r="D169" s="134">
        <v>92820</v>
      </c>
      <c r="E169" s="134"/>
      <c r="F169" s="134"/>
      <c r="G169" s="134"/>
      <c r="H169" s="134">
        <v>12995</v>
      </c>
      <c r="I169" s="134"/>
      <c r="J169" s="134">
        <v>463</v>
      </c>
      <c r="K169" s="135">
        <v>0</v>
      </c>
      <c r="L169" s="136">
        <v>0</v>
      </c>
      <c r="M169" s="136">
        <f t="shared" si="4"/>
        <v>0</v>
      </c>
      <c r="N169" s="331"/>
    </row>
    <row r="170" spans="1:14">
      <c r="A170" s="132">
        <v>42444</v>
      </c>
      <c r="B170" s="133" t="s">
        <v>236</v>
      </c>
      <c r="C170" s="134">
        <v>10511</v>
      </c>
      <c r="D170" s="134">
        <v>9180</v>
      </c>
      <c r="E170" s="134"/>
      <c r="F170" s="134"/>
      <c r="G170" s="134"/>
      <c r="H170" s="134">
        <v>1285</v>
      </c>
      <c r="I170" s="134"/>
      <c r="J170" s="134">
        <v>46</v>
      </c>
      <c r="K170" s="135">
        <v>0</v>
      </c>
      <c r="L170" s="136">
        <v>0</v>
      </c>
      <c r="M170" s="136">
        <f t="shared" si="4"/>
        <v>0</v>
      </c>
      <c r="N170" s="331"/>
    </row>
    <row r="171" spans="1:14">
      <c r="A171" s="132">
        <v>42444</v>
      </c>
      <c r="B171" s="133" t="s">
        <v>236</v>
      </c>
      <c r="C171" s="134">
        <v>107059</v>
      </c>
      <c r="D171" s="134">
        <v>93500</v>
      </c>
      <c r="E171" s="134"/>
      <c r="F171" s="134"/>
      <c r="G171" s="134"/>
      <c r="H171" s="134">
        <v>13090</v>
      </c>
      <c r="I171" s="134"/>
      <c r="J171" s="134">
        <v>469</v>
      </c>
      <c r="K171" s="135">
        <v>0</v>
      </c>
      <c r="L171" s="136">
        <v>0</v>
      </c>
      <c r="M171" s="136">
        <f t="shared" si="4"/>
        <v>0</v>
      </c>
      <c r="N171" s="331"/>
    </row>
    <row r="172" spans="1:14">
      <c r="A172" s="132">
        <v>42444</v>
      </c>
      <c r="B172" s="133" t="s">
        <v>232</v>
      </c>
      <c r="C172" s="134">
        <v>122630</v>
      </c>
      <c r="D172" s="134">
        <v>107100</v>
      </c>
      <c r="E172" s="134"/>
      <c r="F172" s="134"/>
      <c r="G172" s="134"/>
      <c r="H172" s="134">
        <v>14994</v>
      </c>
      <c r="I172" s="134"/>
      <c r="J172" s="134">
        <v>536</v>
      </c>
      <c r="K172" s="135">
        <f t="shared" si="5"/>
        <v>2142</v>
      </c>
      <c r="L172" s="136">
        <v>3570</v>
      </c>
      <c r="M172" s="136">
        <f t="shared" si="4"/>
        <v>-1428</v>
      </c>
      <c r="N172" s="331"/>
    </row>
    <row r="173" spans="1:14">
      <c r="A173" s="132">
        <v>42460</v>
      </c>
      <c r="B173" s="133" t="s">
        <v>236</v>
      </c>
      <c r="C173" s="134">
        <v>124576</v>
      </c>
      <c r="D173" s="134">
        <v>108800</v>
      </c>
      <c r="E173" s="134"/>
      <c r="F173" s="134"/>
      <c r="G173" s="134"/>
      <c r="H173" s="134">
        <v>15232</v>
      </c>
      <c r="I173" s="134"/>
      <c r="J173" s="134">
        <v>544</v>
      </c>
      <c r="K173" s="135">
        <v>0</v>
      </c>
      <c r="L173" s="136">
        <v>0</v>
      </c>
      <c r="M173" s="136">
        <f t="shared" si="4"/>
        <v>0</v>
      </c>
      <c r="N173" s="331"/>
    </row>
    <row r="174" spans="1:14">
      <c r="A174" s="132">
        <v>42460</v>
      </c>
      <c r="B174" s="133" t="s">
        <v>236</v>
      </c>
      <c r="C174" s="134">
        <v>155722</v>
      </c>
      <c r="D174" s="134">
        <v>136000</v>
      </c>
      <c r="E174" s="134"/>
      <c r="F174" s="134"/>
      <c r="G174" s="134"/>
      <c r="H174" s="134">
        <v>19040</v>
      </c>
      <c r="I174" s="134"/>
      <c r="J174" s="134">
        <v>682</v>
      </c>
      <c r="K174" s="135">
        <v>0</v>
      </c>
      <c r="L174" s="136">
        <v>0</v>
      </c>
      <c r="M174" s="136">
        <f t="shared" si="4"/>
        <v>0</v>
      </c>
      <c r="N174" s="331"/>
    </row>
    <row r="175" spans="1:14">
      <c r="A175" s="132">
        <v>42460</v>
      </c>
      <c r="B175" s="133" t="s">
        <v>235</v>
      </c>
      <c r="C175" s="134">
        <v>206902</v>
      </c>
      <c r="D175" s="134">
        <v>180700</v>
      </c>
      <c r="E175" s="134"/>
      <c r="F175" s="134"/>
      <c r="G175" s="134"/>
      <c r="H175" s="134">
        <v>25298</v>
      </c>
      <c r="I175" s="134"/>
      <c r="J175" s="134">
        <v>904</v>
      </c>
      <c r="K175" s="135">
        <f t="shared" si="5"/>
        <v>3614</v>
      </c>
      <c r="L175" s="136">
        <v>3900</v>
      </c>
      <c r="M175" s="136">
        <f t="shared" si="4"/>
        <v>-286</v>
      </c>
      <c r="N175" s="331"/>
    </row>
    <row r="176" spans="1:14">
      <c r="A176" s="132">
        <v>42460</v>
      </c>
      <c r="B176" s="133" t="s">
        <v>234</v>
      </c>
      <c r="C176" s="134">
        <v>27051</v>
      </c>
      <c r="D176" s="134">
        <v>23625</v>
      </c>
      <c r="E176" s="134"/>
      <c r="F176" s="134"/>
      <c r="G176" s="134"/>
      <c r="H176" s="134">
        <v>3308</v>
      </c>
      <c r="I176" s="134"/>
      <c r="J176" s="134">
        <v>118</v>
      </c>
      <c r="K176" s="135">
        <f t="shared" si="5"/>
        <v>472.5</v>
      </c>
      <c r="L176" s="136">
        <v>473</v>
      </c>
      <c r="M176" s="136">
        <f t="shared" si="4"/>
        <v>-0.5</v>
      </c>
      <c r="N176" s="331"/>
    </row>
    <row r="177" spans="1:14">
      <c r="A177" s="132">
        <v>42460</v>
      </c>
      <c r="B177" s="133" t="s">
        <v>234</v>
      </c>
      <c r="C177" s="134">
        <v>172168</v>
      </c>
      <c r="D177" s="134">
        <v>150365</v>
      </c>
      <c r="E177" s="134"/>
      <c r="F177" s="134"/>
      <c r="G177" s="134"/>
      <c r="H177" s="134">
        <v>21051</v>
      </c>
      <c r="I177" s="134"/>
      <c r="J177" s="134">
        <v>752</v>
      </c>
      <c r="K177" s="135">
        <f t="shared" si="5"/>
        <v>3007.3</v>
      </c>
      <c r="L177" s="136">
        <v>3007</v>
      </c>
      <c r="M177" s="136">
        <f t="shared" si="4"/>
        <v>0.3000000000001819</v>
      </c>
      <c r="N177" s="331"/>
    </row>
    <row r="178" spans="1:14">
      <c r="A178" s="132">
        <v>42460</v>
      </c>
      <c r="B178" s="133" t="s">
        <v>234</v>
      </c>
      <c r="C178" s="134">
        <v>30949</v>
      </c>
      <c r="D178" s="134">
        <v>27030</v>
      </c>
      <c r="E178" s="134"/>
      <c r="F178" s="134"/>
      <c r="G178" s="134"/>
      <c r="H178" s="134">
        <v>3784</v>
      </c>
      <c r="I178" s="134"/>
      <c r="J178" s="134">
        <v>135</v>
      </c>
      <c r="K178" s="135">
        <f t="shared" si="5"/>
        <v>540.6</v>
      </c>
      <c r="L178" s="136">
        <v>541</v>
      </c>
      <c r="M178" s="136">
        <f t="shared" si="4"/>
        <v>-0.39999999999997726</v>
      </c>
      <c r="N178" s="331"/>
    </row>
    <row r="179" spans="1:14">
      <c r="A179" s="132">
        <v>42460</v>
      </c>
      <c r="B179" s="133" t="s">
        <v>234</v>
      </c>
      <c r="C179" s="134">
        <v>84819</v>
      </c>
      <c r="D179" s="134">
        <v>74078</v>
      </c>
      <c r="E179" s="134"/>
      <c r="F179" s="134"/>
      <c r="G179" s="134"/>
      <c r="H179" s="134">
        <v>10371</v>
      </c>
      <c r="I179" s="134"/>
      <c r="J179" s="134">
        <v>370</v>
      </c>
      <c r="K179" s="135">
        <f t="shared" si="5"/>
        <v>1481.56</v>
      </c>
      <c r="L179" s="136">
        <v>1482</v>
      </c>
      <c r="M179" s="136">
        <f t="shared" si="4"/>
        <v>-0.44000000000005457</v>
      </c>
      <c r="N179" s="331"/>
    </row>
    <row r="180" spans="1:14">
      <c r="A180" s="132">
        <v>42460</v>
      </c>
      <c r="B180" s="133" t="s">
        <v>234</v>
      </c>
      <c r="C180" s="134">
        <v>246135</v>
      </c>
      <c r="D180" s="134">
        <v>214965</v>
      </c>
      <c r="E180" s="134"/>
      <c r="F180" s="134"/>
      <c r="G180" s="134"/>
      <c r="H180" s="134">
        <v>30095</v>
      </c>
      <c r="I180" s="134"/>
      <c r="J180" s="134">
        <v>1075</v>
      </c>
      <c r="K180" s="135">
        <f t="shared" si="5"/>
        <v>4299.3</v>
      </c>
      <c r="L180" s="136">
        <v>4299</v>
      </c>
      <c r="M180" s="136">
        <f t="shared" si="4"/>
        <v>0.3000000000001819</v>
      </c>
      <c r="N180" s="331"/>
    </row>
    <row r="181" spans="1:14">
      <c r="A181" s="132">
        <v>42460</v>
      </c>
      <c r="B181" s="133" t="s">
        <v>234</v>
      </c>
      <c r="C181" s="134">
        <v>752128</v>
      </c>
      <c r="D181" s="134">
        <v>656880</v>
      </c>
      <c r="E181" s="134"/>
      <c r="F181" s="134"/>
      <c r="G181" s="134"/>
      <c r="H181" s="134">
        <v>91963</v>
      </c>
      <c r="I181" s="134"/>
      <c r="J181" s="134">
        <v>3285</v>
      </c>
      <c r="K181" s="135">
        <f t="shared" si="5"/>
        <v>13137.6</v>
      </c>
      <c r="L181" s="136">
        <v>13138</v>
      </c>
      <c r="M181" s="136">
        <f t="shared" si="4"/>
        <v>-0.3999999999996362</v>
      </c>
      <c r="N181" s="331"/>
    </row>
    <row r="182" spans="1:14">
      <c r="A182" s="132">
        <v>42460</v>
      </c>
      <c r="B182" s="133" t="s">
        <v>233</v>
      </c>
      <c r="C182" s="134">
        <v>141064</v>
      </c>
      <c r="D182" s="134">
        <v>123200</v>
      </c>
      <c r="E182" s="134"/>
      <c r="F182" s="134"/>
      <c r="G182" s="134"/>
      <c r="H182" s="134">
        <v>17248</v>
      </c>
      <c r="I182" s="134"/>
      <c r="J182" s="134">
        <v>616</v>
      </c>
      <c r="K182" s="135">
        <f t="shared" si="5"/>
        <v>2464</v>
      </c>
      <c r="L182" s="136">
        <v>0</v>
      </c>
      <c r="M182" s="136">
        <f t="shared" si="4"/>
        <v>2464</v>
      </c>
      <c r="N182" s="331"/>
    </row>
    <row r="183" spans="1:14">
      <c r="A183" s="132">
        <v>42460</v>
      </c>
      <c r="B183" s="133" t="s">
        <v>232</v>
      </c>
      <c r="C183" s="134">
        <v>323119</v>
      </c>
      <c r="D183" s="134">
        <v>282200</v>
      </c>
      <c r="E183" s="134"/>
      <c r="F183" s="134"/>
      <c r="G183" s="134"/>
      <c r="H183" s="134">
        <v>39508</v>
      </c>
      <c r="I183" s="134"/>
      <c r="J183" s="134">
        <v>1411</v>
      </c>
      <c r="K183" s="135">
        <f t="shared" si="5"/>
        <v>5644</v>
      </c>
      <c r="L183" s="136">
        <v>5712</v>
      </c>
      <c r="M183" s="136">
        <f>+K183-L183</f>
        <v>-68</v>
      </c>
      <c r="N183" s="331"/>
    </row>
    <row r="184" spans="1:14">
      <c r="A184" s="137"/>
      <c r="B184" s="138" t="s">
        <v>231</v>
      </c>
      <c r="C184" s="139">
        <f>SUM(C3:C183)</f>
        <v>25072313</v>
      </c>
      <c r="D184" s="139">
        <f t="shared" ref="D184:N184" si="6">SUM(D3:D183)</f>
        <v>22086024</v>
      </c>
      <c r="E184" s="139">
        <f t="shared" si="6"/>
        <v>354041</v>
      </c>
      <c r="F184" s="139">
        <f t="shared" si="6"/>
        <v>7081</v>
      </c>
      <c r="G184" s="139">
        <f t="shared" si="6"/>
        <v>3525</v>
      </c>
      <c r="H184" s="139">
        <f t="shared" si="6"/>
        <v>2587214</v>
      </c>
      <c r="I184" s="139">
        <f t="shared" si="6"/>
        <v>4207514</v>
      </c>
      <c r="J184" s="139">
        <f t="shared" si="6"/>
        <v>34428</v>
      </c>
      <c r="K184" s="139">
        <f t="shared" si="6"/>
        <v>394418.27999999997</v>
      </c>
      <c r="L184" s="139">
        <f t="shared" si="6"/>
        <v>401850</v>
      </c>
      <c r="M184" s="139">
        <f t="shared" si="6"/>
        <v>-7431.7199999999957</v>
      </c>
      <c r="N184" s="139">
        <f t="shared" si="6"/>
        <v>390526</v>
      </c>
    </row>
    <row r="185" spans="1:14">
      <c r="N185" s="124">
        <f>+L184-N184</f>
        <v>11324</v>
      </c>
    </row>
  </sheetData>
  <autoFilter ref="A2:M184"/>
  <mergeCells count="12">
    <mergeCell ref="N168:N183"/>
    <mergeCell ref="N90:N109"/>
    <mergeCell ref="N110:N125"/>
    <mergeCell ref="N126:N135"/>
    <mergeCell ref="N136:N152"/>
    <mergeCell ref="N153:N160"/>
    <mergeCell ref="N161:N167"/>
    <mergeCell ref="N3:N29"/>
    <mergeCell ref="N30:N53"/>
    <mergeCell ref="N54:N68"/>
    <mergeCell ref="N69:N78"/>
    <mergeCell ref="N79:N89"/>
  </mergeCells>
  <pageMargins left="0.7" right="0.7" top="0.75" bottom="0.75" header="0.3" footer="0.3"/>
  <pageSetup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91"/>
  <sheetViews>
    <sheetView workbookViewId="0">
      <selection activeCell="I28" sqref="I28"/>
    </sheetView>
  </sheetViews>
  <sheetFormatPr defaultRowHeight="15"/>
  <cols>
    <col min="1" max="1" width="38.28515625" style="151" bestFit="1" customWidth="1"/>
    <col min="2" max="2" width="12.7109375" style="151" bestFit="1" customWidth="1"/>
    <col min="3" max="4" width="13" style="151" bestFit="1" customWidth="1"/>
    <col min="5" max="5" width="14.42578125" style="151" bestFit="1" customWidth="1"/>
    <col min="6" max="6" width="7.7109375" style="151" bestFit="1" customWidth="1"/>
    <col min="7" max="8" width="11" style="151" bestFit="1" customWidth="1"/>
    <col min="9" max="9" width="13.5703125" style="151" bestFit="1" customWidth="1"/>
    <col min="10" max="256" width="9.140625" style="151"/>
    <col min="257" max="257" width="38.28515625" style="151" bestFit="1" customWidth="1"/>
    <col min="258" max="258" width="12.7109375" style="151" bestFit="1" customWidth="1"/>
    <col min="259" max="260" width="13" style="151" bestFit="1" customWidth="1"/>
    <col min="261" max="261" width="14.42578125" style="151" bestFit="1" customWidth="1"/>
    <col min="262" max="262" width="7.7109375" style="151" bestFit="1" customWidth="1"/>
    <col min="263" max="264" width="11" style="151" bestFit="1" customWidth="1"/>
    <col min="265" max="265" width="13.5703125" style="151" bestFit="1" customWidth="1"/>
    <col min="266" max="512" width="9.140625" style="151"/>
    <col min="513" max="513" width="38.28515625" style="151" bestFit="1" customWidth="1"/>
    <col min="514" max="514" width="12.7109375" style="151" bestFit="1" customWidth="1"/>
    <col min="515" max="516" width="13" style="151" bestFit="1" customWidth="1"/>
    <col min="517" max="517" width="14.42578125" style="151" bestFit="1" customWidth="1"/>
    <col min="518" max="518" width="7.7109375" style="151" bestFit="1" customWidth="1"/>
    <col min="519" max="520" width="11" style="151" bestFit="1" customWidth="1"/>
    <col min="521" max="521" width="13.5703125" style="151" bestFit="1" customWidth="1"/>
    <col min="522" max="768" width="9.140625" style="151"/>
    <col min="769" max="769" width="38.28515625" style="151" bestFit="1" customWidth="1"/>
    <col min="770" max="770" width="12.7109375" style="151" bestFit="1" customWidth="1"/>
    <col min="771" max="772" width="13" style="151" bestFit="1" customWidth="1"/>
    <col min="773" max="773" width="14.42578125" style="151" bestFit="1" customWidth="1"/>
    <col min="774" max="774" width="7.7109375" style="151" bestFit="1" customWidth="1"/>
    <col min="775" max="776" width="11" style="151" bestFit="1" customWidth="1"/>
    <col min="777" max="777" width="13.5703125" style="151" bestFit="1" customWidth="1"/>
    <col min="778" max="1024" width="9.140625" style="151"/>
    <col min="1025" max="1025" width="38.28515625" style="151" bestFit="1" customWidth="1"/>
    <col min="1026" max="1026" width="12.7109375" style="151" bestFit="1" customWidth="1"/>
    <col min="1027" max="1028" width="13" style="151" bestFit="1" customWidth="1"/>
    <col min="1029" max="1029" width="14.42578125" style="151" bestFit="1" customWidth="1"/>
    <col min="1030" max="1030" width="7.7109375" style="151" bestFit="1" customWidth="1"/>
    <col min="1031" max="1032" width="11" style="151" bestFit="1" customWidth="1"/>
    <col min="1033" max="1033" width="13.5703125" style="151" bestFit="1" customWidth="1"/>
    <col min="1034" max="1280" width="9.140625" style="151"/>
    <col min="1281" max="1281" width="38.28515625" style="151" bestFit="1" customWidth="1"/>
    <col min="1282" max="1282" width="12.7109375" style="151" bestFit="1" customWidth="1"/>
    <col min="1283" max="1284" width="13" style="151" bestFit="1" customWidth="1"/>
    <col min="1285" max="1285" width="14.42578125" style="151" bestFit="1" customWidth="1"/>
    <col min="1286" max="1286" width="7.7109375" style="151" bestFit="1" customWidth="1"/>
    <col min="1287" max="1288" width="11" style="151" bestFit="1" customWidth="1"/>
    <col min="1289" max="1289" width="13.5703125" style="151" bestFit="1" customWidth="1"/>
    <col min="1290" max="1536" width="9.140625" style="151"/>
    <col min="1537" max="1537" width="38.28515625" style="151" bestFit="1" customWidth="1"/>
    <col min="1538" max="1538" width="12.7109375" style="151" bestFit="1" customWidth="1"/>
    <col min="1539" max="1540" width="13" style="151" bestFit="1" customWidth="1"/>
    <col min="1541" max="1541" width="14.42578125" style="151" bestFit="1" customWidth="1"/>
    <col min="1542" max="1542" width="7.7109375" style="151" bestFit="1" customWidth="1"/>
    <col min="1543" max="1544" width="11" style="151" bestFit="1" customWidth="1"/>
    <col min="1545" max="1545" width="13.5703125" style="151" bestFit="1" customWidth="1"/>
    <col min="1546" max="1792" width="9.140625" style="151"/>
    <col min="1793" max="1793" width="38.28515625" style="151" bestFit="1" customWidth="1"/>
    <col min="1794" max="1794" width="12.7109375" style="151" bestFit="1" customWidth="1"/>
    <col min="1795" max="1796" width="13" style="151" bestFit="1" customWidth="1"/>
    <col min="1797" max="1797" width="14.42578125" style="151" bestFit="1" customWidth="1"/>
    <col min="1798" max="1798" width="7.7109375" style="151" bestFit="1" customWidth="1"/>
    <col min="1799" max="1800" width="11" style="151" bestFit="1" customWidth="1"/>
    <col min="1801" max="1801" width="13.5703125" style="151" bestFit="1" customWidth="1"/>
    <col min="1802" max="2048" width="9.140625" style="151"/>
    <col min="2049" max="2049" width="38.28515625" style="151" bestFit="1" customWidth="1"/>
    <col min="2050" max="2050" width="12.7109375" style="151" bestFit="1" customWidth="1"/>
    <col min="2051" max="2052" width="13" style="151" bestFit="1" customWidth="1"/>
    <col min="2053" max="2053" width="14.42578125" style="151" bestFit="1" customWidth="1"/>
    <col min="2054" max="2054" width="7.7109375" style="151" bestFit="1" customWidth="1"/>
    <col min="2055" max="2056" width="11" style="151" bestFit="1" customWidth="1"/>
    <col min="2057" max="2057" width="13.5703125" style="151" bestFit="1" customWidth="1"/>
    <col min="2058" max="2304" width="9.140625" style="151"/>
    <col min="2305" max="2305" width="38.28515625" style="151" bestFit="1" customWidth="1"/>
    <col min="2306" max="2306" width="12.7109375" style="151" bestFit="1" customWidth="1"/>
    <col min="2307" max="2308" width="13" style="151" bestFit="1" customWidth="1"/>
    <col min="2309" max="2309" width="14.42578125" style="151" bestFit="1" customWidth="1"/>
    <col min="2310" max="2310" width="7.7109375" style="151" bestFit="1" customWidth="1"/>
    <col min="2311" max="2312" width="11" style="151" bestFit="1" customWidth="1"/>
    <col min="2313" max="2313" width="13.5703125" style="151" bestFit="1" customWidth="1"/>
    <col min="2314" max="2560" width="9.140625" style="151"/>
    <col min="2561" max="2561" width="38.28515625" style="151" bestFit="1" customWidth="1"/>
    <col min="2562" max="2562" width="12.7109375" style="151" bestFit="1" customWidth="1"/>
    <col min="2563" max="2564" width="13" style="151" bestFit="1" customWidth="1"/>
    <col min="2565" max="2565" width="14.42578125" style="151" bestFit="1" customWidth="1"/>
    <col min="2566" max="2566" width="7.7109375" style="151" bestFit="1" customWidth="1"/>
    <col min="2567" max="2568" width="11" style="151" bestFit="1" customWidth="1"/>
    <col min="2569" max="2569" width="13.5703125" style="151" bestFit="1" customWidth="1"/>
    <col min="2570" max="2816" width="9.140625" style="151"/>
    <col min="2817" max="2817" width="38.28515625" style="151" bestFit="1" customWidth="1"/>
    <col min="2818" max="2818" width="12.7109375" style="151" bestFit="1" customWidth="1"/>
    <col min="2819" max="2820" width="13" style="151" bestFit="1" customWidth="1"/>
    <col min="2821" max="2821" width="14.42578125" style="151" bestFit="1" customWidth="1"/>
    <col min="2822" max="2822" width="7.7109375" style="151" bestFit="1" customWidth="1"/>
    <col min="2823" max="2824" width="11" style="151" bestFit="1" customWidth="1"/>
    <col min="2825" max="2825" width="13.5703125" style="151" bestFit="1" customWidth="1"/>
    <col min="2826" max="3072" width="9.140625" style="151"/>
    <col min="3073" max="3073" width="38.28515625" style="151" bestFit="1" customWidth="1"/>
    <col min="3074" max="3074" width="12.7109375" style="151" bestFit="1" customWidth="1"/>
    <col min="3075" max="3076" width="13" style="151" bestFit="1" customWidth="1"/>
    <col min="3077" max="3077" width="14.42578125" style="151" bestFit="1" customWidth="1"/>
    <col min="3078" max="3078" width="7.7109375" style="151" bestFit="1" customWidth="1"/>
    <col min="3079" max="3080" width="11" style="151" bestFit="1" customWidth="1"/>
    <col min="3081" max="3081" width="13.5703125" style="151" bestFit="1" customWidth="1"/>
    <col min="3082" max="3328" width="9.140625" style="151"/>
    <col min="3329" max="3329" width="38.28515625" style="151" bestFit="1" customWidth="1"/>
    <col min="3330" max="3330" width="12.7109375" style="151" bestFit="1" customWidth="1"/>
    <col min="3331" max="3332" width="13" style="151" bestFit="1" customWidth="1"/>
    <col min="3333" max="3333" width="14.42578125" style="151" bestFit="1" customWidth="1"/>
    <col min="3334" max="3334" width="7.7109375" style="151" bestFit="1" customWidth="1"/>
    <col min="3335" max="3336" width="11" style="151" bestFit="1" customWidth="1"/>
    <col min="3337" max="3337" width="13.5703125" style="151" bestFit="1" customWidth="1"/>
    <col min="3338" max="3584" width="9.140625" style="151"/>
    <col min="3585" max="3585" width="38.28515625" style="151" bestFit="1" customWidth="1"/>
    <col min="3586" max="3586" width="12.7109375" style="151" bestFit="1" customWidth="1"/>
    <col min="3587" max="3588" width="13" style="151" bestFit="1" customWidth="1"/>
    <col min="3589" max="3589" width="14.42578125" style="151" bestFit="1" customWidth="1"/>
    <col min="3590" max="3590" width="7.7109375" style="151" bestFit="1" customWidth="1"/>
    <col min="3591" max="3592" width="11" style="151" bestFit="1" customWidth="1"/>
    <col min="3593" max="3593" width="13.5703125" style="151" bestFit="1" customWidth="1"/>
    <col min="3594" max="3840" width="9.140625" style="151"/>
    <col min="3841" max="3841" width="38.28515625" style="151" bestFit="1" customWidth="1"/>
    <col min="3842" max="3842" width="12.7109375" style="151" bestFit="1" customWidth="1"/>
    <col min="3843" max="3844" width="13" style="151" bestFit="1" customWidth="1"/>
    <col min="3845" max="3845" width="14.42578125" style="151" bestFit="1" customWidth="1"/>
    <col min="3846" max="3846" width="7.7109375" style="151" bestFit="1" customWidth="1"/>
    <col min="3847" max="3848" width="11" style="151" bestFit="1" customWidth="1"/>
    <col min="3849" max="3849" width="13.5703125" style="151" bestFit="1" customWidth="1"/>
    <col min="3850" max="4096" width="9.140625" style="151"/>
    <col min="4097" max="4097" width="38.28515625" style="151" bestFit="1" customWidth="1"/>
    <col min="4098" max="4098" width="12.7109375" style="151" bestFit="1" customWidth="1"/>
    <col min="4099" max="4100" width="13" style="151" bestFit="1" customWidth="1"/>
    <col min="4101" max="4101" width="14.42578125" style="151" bestFit="1" customWidth="1"/>
    <col min="4102" max="4102" width="7.7109375" style="151" bestFit="1" customWidth="1"/>
    <col min="4103" max="4104" width="11" style="151" bestFit="1" customWidth="1"/>
    <col min="4105" max="4105" width="13.5703125" style="151" bestFit="1" customWidth="1"/>
    <col min="4106" max="4352" width="9.140625" style="151"/>
    <col min="4353" max="4353" width="38.28515625" style="151" bestFit="1" customWidth="1"/>
    <col min="4354" max="4354" width="12.7109375" style="151" bestFit="1" customWidth="1"/>
    <col min="4355" max="4356" width="13" style="151" bestFit="1" customWidth="1"/>
    <col min="4357" max="4357" width="14.42578125" style="151" bestFit="1" customWidth="1"/>
    <col min="4358" max="4358" width="7.7109375" style="151" bestFit="1" customWidth="1"/>
    <col min="4359" max="4360" width="11" style="151" bestFit="1" customWidth="1"/>
    <col min="4361" max="4361" width="13.5703125" style="151" bestFit="1" customWidth="1"/>
    <col min="4362" max="4608" width="9.140625" style="151"/>
    <col min="4609" max="4609" width="38.28515625" style="151" bestFit="1" customWidth="1"/>
    <col min="4610" max="4610" width="12.7109375" style="151" bestFit="1" customWidth="1"/>
    <col min="4611" max="4612" width="13" style="151" bestFit="1" customWidth="1"/>
    <col min="4613" max="4613" width="14.42578125" style="151" bestFit="1" customWidth="1"/>
    <col min="4614" max="4614" width="7.7109375" style="151" bestFit="1" customWidth="1"/>
    <col min="4615" max="4616" width="11" style="151" bestFit="1" customWidth="1"/>
    <col min="4617" max="4617" width="13.5703125" style="151" bestFit="1" customWidth="1"/>
    <col min="4618" max="4864" width="9.140625" style="151"/>
    <col min="4865" max="4865" width="38.28515625" style="151" bestFit="1" customWidth="1"/>
    <col min="4866" max="4866" width="12.7109375" style="151" bestFit="1" customWidth="1"/>
    <col min="4867" max="4868" width="13" style="151" bestFit="1" customWidth="1"/>
    <col min="4869" max="4869" width="14.42578125" style="151" bestFit="1" customWidth="1"/>
    <col min="4870" max="4870" width="7.7109375" style="151" bestFit="1" customWidth="1"/>
    <col min="4871" max="4872" width="11" style="151" bestFit="1" customWidth="1"/>
    <col min="4873" max="4873" width="13.5703125" style="151" bestFit="1" customWidth="1"/>
    <col min="4874" max="5120" width="9.140625" style="151"/>
    <col min="5121" max="5121" width="38.28515625" style="151" bestFit="1" customWidth="1"/>
    <col min="5122" max="5122" width="12.7109375" style="151" bestFit="1" customWidth="1"/>
    <col min="5123" max="5124" width="13" style="151" bestFit="1" customWidth="1"/>
    <col min="5125" max="5125" width="14.42578125" style="151" bestFit="1" customWidth="1"/>
    <col min="5126" max="5126" width="7.7109375" style="151" bestFit="1" customWidth="1"/>
    <col min="5127" max="5128" width="11" style="151" bestFit="1" customWidth="1"/>
    <col min="5129" max="5129" width="13.5703125" style="151" bestFit="1" customWidth="1"/>
    <col min="5130" max="5376" width="9.140625" style="151"/>
    <col min="5377" max="5377" width="38.28515625" style="151" bestFit="1" customWidth="1"/>
    <col min="5378" max="5378" width="12.7109375" style="151" bestFit="1" customWidth="1"/>
    <col min="5379" max="5380" width="13" style="151" bestFit="1" customWidth="1"/>
    <col min="5381" max="5381" width="14.42578125" style="151" bestFit="1" customWidth="1"/>
    <col min="5382" max="5382" width="7.7109375" style="151" bestFit="1" customWidth="1"/>
    <col min="5383" max="5384" width="11" style="151" bestFit="1" customWidth="1"/>
    <col min="5385" max="5385" width="13.5703125" style="151" bestFit="1" customWidth="1"/>
    <col min="5386" max="5632" width="9.140625" style="151"/>
    <col min="5633" max="5633" width="38.28515625" style="151" bestFit="1" customWidth="1"/>
    <col min="5634" max="5634" width="12.7109375" style="151" bestFit="1" customWidth="1"/>
    <col min="5635" max="5636" width="13" style="151" bestFit="1" customWidth="1"/>
    <col min="5637" max="5637" width="14.42578125" style="151" bestFit="1" customWidth="1"/>
    <col min="5638" max="5638" width="7.7109375" style="151" bestFit="1" customWidth="1"/>
    <col min="5639" max="5640" width="11" style="151" bestFit="1" customWidth="1"/>
    <col min="5641" max="5641" width="13.5703125" style="151" bestFit="1" customWidth="1"/>
    <col min="5642" max="5888" width="9.140625" style="151"/>
    <col min="5889" max="5889" width="38.28515625" style="151" bestFit="1" customWidth="1"/>
    <col min="5890" max="5890" width="12.7109375" style="151" bestFit="1" customWidth="1"/>
    <col min="5891" max="5892" width="13" style="151" bestFit="1" customWidth="1"/>
    <col min="5893" max="5893" width="14.42578125" style="151" bestFit="1" customWidth="1"/>
    <col min="5894" max="5894" width="7.7109375" style="151" bestFit="1" customWidth="1"/>
    <col min="5895" max="5896" width="11" style="151" bestFit="1" customWidth="1"/>
    <col min="5897" max="5897" width="13.5703125" style="151" bestFit="1" customWidth="1"/>
    <col min="5898" max="6144" width="9.140625" style="151"/>
    <col min="6145" max="6145" width="38.28515625" style="151" bestFit="1" customWidth="1"/>
    <col min="6146" max="6146" width="12.7109375" style="151" bestFit="1" customWidth="1"/>
    <col min="6147" max="6148" width="13" style="151" bestFit="1" customWidth="1"/>
    <col min="6149" max="6149" width="14.42578125" style="151" bestFit="1" customWidth="1"/>
    <col min="6150" max="6150" width="7.7109375" style="151" bestFit="1" customWidth="1"/>
    <col min="6151" max="6152" width="11" style="151" bestFit="1" customWidth="1"/>
    <col min="6153" max="6153" width="13.5703125" style="151" bestFit="1" customWidth="1"/>
    <col min="6154" max="6400" width="9.140625" style="151"/>
    <col min="6401" max="6401" width="38.28515625" style="151" bestFit="1" customWidth="1"/>
    <col min="6402" max="6402" width="12.7109375" style="151" bestFit="1" customWidth="1"/>
    <col min="6403" max="6404" width="13" style="151" bestFit="1" customWidth="1"/>
    <col min="6405" max="6405" width="14.42578125" style="151" bestFit="1" customWidth="1"/>
    <col min="6406" max="6406" width="7.7109375" style="151" bestFit="1" customWidth="1"/>
    <col min="6407" max="6408" width="11" style="151" bestFit="1" customWidth="1"/>
    <col min="6409" max="6409" width="13.5703125" style="151" bestFit="1" customWidth="1"/>
    <col min="6410" max="6656" width="9.140625" style="151"/>
    <col min="6657" max="6657" width="38.28515625" style="151" bestFit="1" customWidth="1"/>
    <col min="6658" max="6658" width="12.7109375" style="151" bestFit="1" customWidth="1"/>
    <col min="6659" max="6660" width="13" style="151" bestFit="1" customWidth="1"/>
    <col min="6661" max="6661" width="14.42578125" style="151" bestFit="1" customWidth="1"/>
    <col min="6662" max="6662" width="7.7109375" style="151" bestFit="1" customWidth="1"/>
    <col min="6663" max="6664" width="11" style="151" bestFit="1" customWidth="1"/>
    <col min="6665" max="6665" width="13.5703125" style="151" bestFit="1" customWidth="1"/>
    <col min="6666" max="6912" width="9.140625" style="151"/>
    <col min="6913" max="6913" width="38.28515625" style="151" bestFit="1" customWidth="1"/>
    <col min="6914" max="6914" width="12.7109375" style="151" bestFit="1" customWidth="1"/>
    <col min="6915" max="6916" width="13" style="151" bestFit="1" customWidth="1"/>
    <col min="6917" max="6917" width="14.42578125" style="151" bestFit="1" customWidth="1"/>
    <col min="6918" max="6918" width="7.7109375" style="151" bestFit="1" customWidth="1"/>
    <col min="6919" max="6920" width="11" style="151" bestFit="1" customWidth="1"/>
    <col min="6921" max="6921" width="13.5703125" style="151" bestFit="1" customWidth="1"/>
    <col min="6922" max="7168" width="9.140625" style="151"/>
    <col min="7169" max="7169" width="38.28515625" style="151" bestFit="1" customWidth="1"/>
    <col min="7170" max="7170" width="12.7109375" style="151" bestFit="1" customWidth="1"/>
    <col min="7171" max="7172" width="13" style="151" bestFit="1" customWidth="1"/>
    <col min="7173" max="7173" width="14.42578125" style="151" bestFit="1" customWidth="1"/>
    <col min="7174" max="7174" width="7.7109375" style="151" bestFit="1" customWidth="1"/>
    <col min="7175" max="7176" width="11" style="151" bestFit="1" customWidth="1"/>
    <col min="7177" max="7177" width="13.5703125" style="151" bestFit="1" customWidth="1"/>
    <col min="7178" max="7424" width="9.140625" style="151"/>
    <col min="7425" max="7425" width="38.28515625" style="151" bestFit="1" customWidth="1"/>
    <col min="7426" max="7426" width="12.7109375" style="151" bestFit="1" customWidth="1"/>
    <col min="7427" max="7428" width="13" style="151" bestFit="1" customWidth="1"/>
    <col min="7429" max="7429" width="14.42578125" style="151" bestFit="1" customWidth="1"/>
    <col min="7430" max="7430" width="7.7109375" style="151" bestFit="1" customWidth="1"/>
    <col min="7431" max="7432" width="11" style="151" bestFit="1" customWidth="1"/>
    <col min="7433" max="7433" width="13.5703125" style="151" bestFit="1" customWidth="1"/>
    <col min="7434" max="7680" width="9.140625" style="151"/>
    <col min="7681" max="7681" width="38.28515625" style="151" bestFit="1" customWidth="1"/>
    <col min="7682" max="7682" width="12.7109375" style="151" bestFit="1" customWidth="1"/>
    <col min="7683" max="7684" width="13" style="151" bestFit="1" customWidth="1"/>
    <col min="7685" max="7685" width="14.42578125" style="151" bestFit="1" customWidth="1"/>
    <col min="7686" max="7686" width="7.7109375" style="151" bestFit="1" customWidth="1"/>
    <col min="7687" max="7688" width="11" style="151" bestFit="1" customWidth="1"/>
    <col min="7689" max="7689" width="13.5703125" style="151" bestFit="1" customWidth="1"/>
    <col min="7690" max="7936" width="9.140625" style="151"/>
    <col min="7937" max="7937" width="38.28515625" style="151" bestFit="1" customWidth="1"/>
    <col min="7938" max="7938" width="12.7109375" style="151" bestFit="1" customWidth="1"/>
    <col min="7939" max="7940" width="13" style="151" bestFit="1" customWidth="1"/>
    <col min="7941" max="7941" width="14.42578125" style="151" bestFit="1" customWidth="1"/>
    <col min="7942" max="7942" width="7.7109375" style="151" bestFit="1" customWidth="1"/>
    <col min="7943" max="7944" width="11" style="151" bestFit="1" customWidth="1"/>
    <col min="7945" max="7945" width="13.5703125" style="151" bestFit="1" customWidth="1"/>
    <col min="7946" max="8192" width="9.140625" style="151"/>
    <col min="8193" max="8193" width="38.28515625" style="151" bestFit="1" customWidth="1"/>
    <col min="8194" max="8194" width="12.7109375" style="151" bestFit="1" customWidth="1"/>
    <col min="8195" max="8196" width="13" style="151" bestFit="1" customWidth="1"/>
    <col min="8197" max="8197" width="14.42578125" style="151" bestFit="1" customWidth="1"/>
    <col min="8198" max="8198" width="7.7109375" style="151" bestFit="1" customWidth="1"/>
    <col min="8199" max="8200" width="11" style="151" bestFit="1" customWidth="1"/>
    <col min="8201" max="8201" width="13.5703125" style="151" bestFit="1" customWidth="1"/>
    <col min="8202" max="8448" width="9.140625" style="151"/>
    <col min="8449" max="8449" width="38.28515625" style="151" bestFit="1" customWidth="1"/>
    <col min="8450" max="8450" width="12.7109375" style="151" bestFit="1" customWidth="1"/>
    <col min="8451" max="8452" width="13" style="151" bestFit="1" customWidth="1"/>
    <col min="8453" max="8453" width="14.42578125" style="151" bestFit="1" customWidth="1"/>
    <col min="8454" max="8454" width="7.7109375" style="151" bestFit="1" customWidth="1"/>
    <col min="8455" max="8456" width="11" style="151" bestFit="1" customWidth="1"/>
    <col min="8457" max="8457" width="13.5703125" style="151" bestFit="1" customWidth="1"/>
    <col min="8458" max="8704" width="9.140625" style="151"/>
    <col min="8705" max="8705" width="38.28515625" style="151" bestFit="1" customWidth="1"/>
    <col min="8706" max="8706" width="12.7109375" style="151" bestFit="1" customWidth="1"/>
    <col min="8707" max="8708" width="13" style="151" bestFit="1" customWidth="1"/>
    <col min="8709" max="8709" width="14.42578125" style="151" bestFit="1" customWidth="1"/>
    <col min="8710" max="8710" width="7.7109375" style="151" bestFit="1" customWidth="1"/>
    <col min="8711" max="8712" width="11" style="151" bestFit="1" customWidth="1"/>
    <col min="8713" max="8713" width="13.5703125" style="151" bestFit="1" customWidth="1"/>
    <col min="8714" max="8960" width="9.140625" style="151"/>
    <col min="8961" max="8961" width="38.28515625" style="151" bestFit="1" customWidth="1"/>
    <col min="8962" max="8962" width="12.7109375" style="151" bestFit="1" customWidth="1"/>
    <col min="8963" max="8964" width="13" style="151" bestFit="1" customWidth="1"/>
    <col min="8965" max="8965" width="14.42578125" style="151" bestFit="1" customWidth="1"/>
    <col min="8966" max="8966" width="7.7109375" style="151" bestFit="1" customWidth="1"/>
    <col min="8967" max="8968" width="11" style="151" bestFit="1" customWidth="1"/>
    <col min="8969" max="8969" width="13.5703125" style="151" bestFit="1" customWidth="1"/>
    <col min="8970" max="9216" width="9.140625" style="151"/>
    <col min="9217" max="9217" width="38.28515625" style="151" bestFit="1" customWidth="1"/>
    <col min="9218" max="9218" width="12.7109375" style="151" bestFit="1" customWidth="1"/>
    <col min="9219" max="9220" width="13" style="151" bestFit="1" customWidth="1"/>
    <col min="9221" max="9221" width="14.42578125" style="151" bestFit="1" customWidth="1"/>
    <col min="9222" max="9222" width="7.7109375" style="151" bestFit="1" customWidth="1"/>
    <col min="9223" max="9224" width="11" style="151" bestFit="1" customWidth="1"/>
    <col min="9225" max="9225" width="13.5703125" style="151" bestFit="1" customWidth="1"/>
    <col min="9226" max="9472" width="9.140625" style="151"/>
    <col min="9473" max="9473" width="38.28515625" style="151" bestFit="1" customWidth="1"/>
    <col min="9474" max="9474" width="12.7109375" style="151" bestFit="1" customWidth="1"/>
    <col min="9475" max="9476" width="13" style="151" bestFit="1" customWidth="1"/>
    <col min="9477" max="9477" width="14.42578125" style="151" bestFit="1" customWidth="1"/>
    <col min="9478" max="9478" width="7.7109375" style="151" bestFit="1" customWidth="1"/>
    <col min="9479" max="9480" width="11" style="151" bestFit="1" customWidth="1"/>
    <col min="9481" max="9481" width="13.5703125" style="151" bestFit="1" customWidth="1"/>
    <col min="9482" max="9728" width="9.140625" style="151"/>
    <col min="9729" max="9729" width="38.28515625" style="151" bestFit="1" customWidth="1"/>
    <col min="9730" max="9730" width="12.7109375" style="151" bestFit="1" customWidth="1"/>
    <col min="9731" max="9732" width="13" style="151" bestFit="1" customWidth="1"/>
    <col min="9733" max="9733" width="14.42578125" style="151" bestFit="1" customWidth="1"/>
    <col min="9734" max="9734" width="7.7109375" style="151" bestFit="1" customWidth="1"/>
    <col min="9735" max="9736" width="11" style="151" bestFit="1" customWidth="1"/>
    <col min="9737" max="9737" width="13.5703125" style="151" bestFit="1" customWidth="1"/>
    <col min="9738" max="9984" width="9.140625" style="151"/>
    <col min="9985" max="9985" width="38.28515625" style="151" bestFit="1" customWidth="1"/>
    <col min="9986" max="9986" width="12.7109375" style="151" bestFit="1" customWidth="1"/>
    <col min="9987" max="9988" width="13" style="151" bestFit="1" customWidth="1"/>
    <col min="9989" max="9989" width="14.42578125" style="151" bestFit="1" customWidth="1"/>
    <col min="9990" max="9990" width="7.7109375" style="151" bestFit="1" customWidth="1"/>
    <col min="9991" max="9992" width="11" style="151" bestFit="1" customWidth="1"/>
    <col min="9993" max="9993" width="13.5703125" style="151" bestFit="1" customWidth="1"/>
    <col min="9994" max="10240" width="9.140625" style="151"/>
    <col min="10241" max="10241" width="38.28515625" style="151" bestFit="1" customWidth="1"/>
    <col min="10242" max="10242" width="12.7109375" style="151" bestFit="1" customWidth="1"/>
    <col min="10243" max="10244" width="13" style="151" bestFit="1" customWidth="1"/>
    <col min="10245" max="10245" width="14.42578125" style="151" bestFit="1" customWidth="1"/>
    <col min="10246" max="10246" width="7.7109375" style="151" bestFit="1" customWidth="1"/>
    <col min="10247" max="10248" width="11" style="151" bestFit="1" customWidth="1"/>
    <col min="10249" max="10249" width="13.5703125" style="151" bestFit="1" customWidth="1"/>
    <col min="10250" max="10496" width="9.140625" style="151"/>
    <col min="10497" max="10497" width="38.28515625" style="151" bestFit="1" customWidth="1"/>
    <col min="10498" max="10498" width="12.7109375" style="151" bestFit="1" customWidth="1"/>
    <col min="10499" max="10500" width="13" style="151" bestFit="1" customWidth="1"/>
    <col min="10501" max="10501" width="14.42578125" style="151" bestFit="1" customWidth="1"/>
    <col min="10502" max="10502" width="7.7109375" style="151" bestFit="1" customWidth="1"/>
    <col min="10503" max="10504" width="11" style="151" bestFit="1" customWidth="1"/>
    <col min="10505" max="10505" width="13.5703125" style="151" bestFit="1" customWidth="1"/>
    <col min="10506" max="10752" width="9.140625" style="151"/>
    <col min="10753" max="10753" width="38.28515625" style="151" bestFit="1" customWidth="1"/>
    <col min="10754" max="10754" width="12.7109375" style="151" bestFit="1" customWidth="1"/>
    <col min="10755" max="10756" width="13" style="151" bestFit="1" customWidth="1"/>
    <col min="10757" max="10757" width="14.42578125" style="151" bestFit="1" customWidth="1"/>
    <col min="10758" max="10758" width="7.7109375" style="151" bestFit="1" customWidth="1"/>
    <col min="10759" max="10760" width="11" style="151" bestFit="1" customWidth="1"/>
    <col min="10761" max="10761" width="13.5703125" style="151" bestFit="1" customWidth="1"/>
    <col min="10762" max="11008" width="9.140625" style="151"/>
    <col min="11009" max="11009" width="38.28515625" style="151" bestFit="1" customWidth="1"/>
    <col min="11010" max="11010" width="12.7109375" style="151" bestFit="1" customWidth="1"/>
    <col min="11011" max="11012" width="13" style="151" bestFit="1" customWidth="1"/>
    <col min="11013" max="11013" width="14.42578125" style="151" bestFit="1" customWidth="1"/>
    <col min="11014" max="11014" width="7.7109375" style="151" bestFit="1" customWidth="1"/>
    <col min="11015" max="11016" width="11" style="151" bestFit="1" customWidth="1"/>
    <col min="11017" max="11017" width="13.5703125" style="151" bestFit="1" customWidth="1"/>
    <col min="11018" max="11264" width="9.140625" style="151"/>
    <col min="11265" max="11265" width="38.28515625" style="151" bestFit="1" customWidth="1"/>
    <col min="11266" max="11266" width="12.7109375" style="151" bestFit="1" customWidth="1"/>
    <col min="11267" max="11268" width="13" style="151" bestFit="1" customWidth="1"/>
    <col min="11269" max="11269" width="14.42578125" style="151" bestFit="1" customWidth="1"/>
    <col min="11270" max="11270" width="7.7109375" style="151" bestFit="1" customWidth="1"/>
    <col min="11271" max="11272" width="11" style="151" bestFit="1" customWidth="1"/>
    <col min="11273" max="11273" width="13.5703125" style="151" bestFit="1" customWidth="1"/>
    <col min="11274" max="11520" width="9.140625" style="151"/>
    <col min="11521" max="11521" width="38.28515625" style="151" bestFit="1" customWidth="1"/>
    <col min="11522" max="11522" width="12.7109375" style="151" bestFit="1" customWidth="1"/>
    <col min="11523" max="11524" width="13" style="151" bestFit="1" customWidth="1"/>
    <col min="11525" max="11525" width="14.42578125" style="151" bestFit="1" customWidth="1"/>
    <col min="11526" max="11526" width="7.7109375" style="151" bestFit="1" customWidth="1"/>
    <col min="11527" max="11528" width="11" style="151" bestFit="1" customWidth="1"/>
    <col min="11529" max="11529" width="13.5703125" style="151" bestFit="1" customWidth="1"/>
    <col min="11530" max="11776" width="9.140625" style="151"/>
    <col min="11777" max="11777" width="38.28515625" style="151" bestFit="1" customWidth="1"/>
    <col min="11778" max="11778" width="12.7109375" style="151" bestFit="1" customWidth="1"/>
    <col min="11779" max="11780" width="13" style="151" bestFit="1" customWidth="1"/>
    <col min="11781" max="11781" width="14.42578125" style="151" bestFit="1" customWidth="1"/>
    <col min="11782" max="11782" width="7.7109375" style="151" bestFit="1" customWidth="1"/>
    <col min="11783" max="11784" width="11" style="151" bestFit="1" customWidth="1"/>
    <col min="11785" max="11785" width="13.5703125" style="151" bestFit="1" customWidth="1"/>
    <col min="11786" max="12032" width="9.140625" style="151"/>
    <col min="12033" max="12033" width="38.28515625" style="151" bestFit="1" customWidth="1"/>
    <col min="12034" max="12034" width="12.7109375" style="151" bestFit="1" customWidth="1"/>
    <col min="12035" max="12036" width="13" style="151" bestFit="1" customWidth="1"/>
    <col min="12037" max="12037" width="14.42578125" style="151" bestFit="1" customWidth="1"/>
    <col min="12038" max="12038" width="7.7109375" style="151" bestFit="1" customWidth="1"/>
    <col min="12039" max="12040" width="11" style="151" bestFit="1" customWidth="1"/>
    <col min="12041" max="12041" width="13.5703125" style="151" bestFit="1" customWidth="1"/>
    <col min="12042" max="12288" width="9.140625" style="151"/>
    <col min="12289" max="12289" width="38.28515625" style="151" bestFit="1" customWidth="1"/>
    <col min="12290" max="12290" width="12.7109375" style="151" bestFit="1" customWidth="1"/>
    <col min="12291" max="12292" width="13" style="151" bestFit="1" customWidth="1"/>
    <col min="12293" max="12293" width="14.42578125" style="151" bestFit="1" customWidth="1"/>
    <col min="12294" max="12294" width="7.7109375" style="151" bestFit="1" customWidth="1"/>
    <col min="12295" max="12296" width="11" style="151" bestFit="1" customWidth="1"/>
    <col min="12297" max="12297" width="13.5703125" style="151" bestFit="1" customWidth="1"/>
    <col min="12298" max="12544" width="9.140625" style="151"/>
    <col min="12545" max="12545" width="38.28515625" style="151" bestFit="1" customWidth="1"/>
    <col min="12546" max="12546" width="12.7109375" style="151" bestFit="1" customWidth="1"/>
    <col min="12547" max="12548" width="13" style="151" bestFit="1" customWidth="1"/>
    <col min="12549" max="12549" width="14.42578125" style="151" bestFit="1" customWidth="1"/>
    <col min="12550" max="12550" width="7.7109375" style="151" bestFit="1" customWidth="1"/>
    <col min="12551" max="12552" width="11" style="151" bestFit="1" customWidth="1"/>
    <col min="12553" max="12553" width="13.5703125" style="151" bestFit="1" customWidth="1"/>
    <col min="12554" max="12800" width="9.140625" style="151"/>
    <col min="12801" max="12801" width="38.28515625" style="151" bestFit="1" customWidth="1"/>
    <col min="12802" max="12802" width="12.7109375" style="151" bestFit="1" customWidth="1"/>
    <col min="12803" max="12804" width="13" style="151" bestFit="1" customWidth="1"/>
    <col min="12805" max="12805" width="14.42578125" style="151" bestFit="1" customWidth="1"/>
    <col min="12806" max="12806" width="7.7109375" style="151" bestFit="1" customWidth="1"/>
    <col min="12807" max="12808" width="11" style="151" bestFit="1" customWidth="1"/>
    <col min="12809" max="12809" width="13.5703125" style="151" bestFit="1" customWidth="1"/>
    <col min="12810" max="13056" width="9.140625" style="151"/>
    <col min="13057" max="13057" width="38.28515625" style="151" bestFit="1" customWidth="1"/>
    <col min="13058" max="13058" width="12.7109375" style="151" bestFit="1" customWidth="1"/>
    <col min="13059" max="13060" width="13" style="151" bestFit="1" customWidth="1"/>
    <col min="13061" max="13061" width="14.42578125" style="151" bestFit="1" customWidth="1"/>
    <col min="13062" max="13062" width="7.7109375" style="151" bestFit="1" customWidth="1"/>
    <col min="13063" max="13064" width="11" style="151" bestFit="1" customWidth="1"/>
    <col min="13065" max="13065" width="13.5703125" style="151" bestFit="1" customWidth="1"/>
    <col min="13066" max="13312" width="9.140625" style="151"/>
    <col min="13313" max="13313" width="38.28515625" style="151" bestFit="1" customWidth="1"/>
    <col min="13314" max="13314" width="12.7109375" style="151" bestFit="1" customWidth="1"/>
    <col min="13315" max="13316" width="13" style="151" bestFit="1" customWidth="1"/>
    <col min="13317" max="13317" width="14.42578125" style="151" bestFit="1" customWidth="1"/>
    <col min="13318" max="13318" width="7.7109375" style="151" bestFit="1" customWidth="1"/>
    <col min="13319" max="13320" width="11" style="151" bestFit="1" customWidth="1"/>
    <col min="13321" max="13321" width="13.5703125" style="151" bestFit="1" customWidth="1"/>
    <col min="13322" max="13568" width="9.140625" style="151"/>
    <col min="13569" max="13569" width="38.28515625" style="151" bestFit="1" customWidth="1"/>
    <col min="13570" max="13570" width="12.7109375" style="151" bestFit="1" customWidth="1"/>
    <col min="13571" max="13572" width="13" style="151" bestFit="1" customWidth="1"/>
    <col min="13573" max="13573" width="14.42578125" style="151" bestFit="1" customWidth="1"/>
    <col min="13574" max="13574" width="7.7109375" style="151" bestFit="1" customWidth="1"/>
    <col min="13575" max="13576" width="11" style="151" bestFit="1" customWidth="1"/>
    <col min="13577" max="13577" width="13.5703125" style="151" bestFit="1" customWidth="1"/>
    <col min="13578" max="13824" width="9.140625" style="151"/>
    <col min="13825" max="13825" width="38.28515625" style="151" bestFit="1" customWidth="1"/>
    <col min="13826" max="13826" width="12.7109375" style="151" bestFit="1" customWidth="1"/>
    <col min="13827" max="13828" width="13" style="151" bestFit="1" customWidth="1"/>
    <col min="13829" max="13829" width="14.42578125" style="151" bestFit="1" customWidth="1"/>
    <col min="13830" max="13830" width="7.7109375" style="151" bestFit="1" customWidth="1"/>
    <col min="13831" max="13832" width="11" style="151" bestFit="1" customWidth="1"/>
    <col min="13833" max="13833" width="13.5703125" style="151" bestFit="1" customWidth="1"/>
    <col min="13834" max="14080" width="9.140625" style="151"/>
    <col min="14081" max="14081" width="38.28515625" style="151" bestFit="1" customWidth="1"/>
    <col min="14082" max="14082" width="12.7109375" style="151" bestFit="1" customWidth="1"/>
    <col min="14083" max="14084" width="13" style="151" bestFit="1" customWidth="1"/>
    <col min="14085" max="14085" width="14.42578125" style="151" bestFit="1" customWidth="1"/>
    <col min="14086" max="14086" width="7.7109375" style="151" bestFit="1" customWidth="1"/>
    <col min="14087" max="14088" width="11" style="151" bestFit="1" customWidth="1"/>
    <col min="14089" max="14089" width="13.5703125" style="151" bestFit="1" customWidth="1"/>
    <col min="14090" max="14336" width="9.140625" style="151"/>
    <col min="14337" max="14337" width="38.28515625" style="151" bestFit="1" customWidth="1"/>
    <col min="14338" max="14338" width="12.7109375" style="151" bestFit="1" customWidth="1"/>
    <col min="14339" max="14340" width="13" style="151" bestFit="1" customWidth="1"/>
    <col min="14341" max="14341" width="14.42578125" style="151" bestFit="1" customWidth="1"/>
    <col min="14342" max="14342" width="7.7109375" style="151" bestFit="1" customWidth="1"/>
    <col min="14343" max="14344" width="11" style="151" bestFit="1" customWidth="1"/>
    <col min="14345" max="14345" width="13.5703125" style="151" bestFit="1" customWidth="1"/>
    <col min="14346" max="14592" width="9.140625" style="151"/>
    <col min="14593" max="14593" width="38.28515625" style="151" bestFit="1" customWidth="1"/>
    <col min="14594" max="14594" width="12.7109375" style="151" bestFit="1" customWidth="1"/>
    <col min="14595" max="14596" width="13" style="151" bestFit="1" customWidth="1"/>
    <col min="14597" max="14597" width="14.42578125" style="151" bestFit="1" customWidth="1"/>
    <col min="14598" max="14598" width="7.7109375" style="151" bestFit="1" customWidth="1"/>
    <col min="14599" max="14600" width="11" style="151" bestFit="1" customWidth="1"/>
    <col min="14601" max="14601" width="13.5703125" style="151" bestFit="1" customWidth="1"/>
    <col min="14602" max="14848" width="9.140625" style="151"/>
    <col min="14849" max="14849" width="38.28515625" style="151" bestFit="1" customWidth="1"/>
    <col min="14850" max="14850" width="12.7109375" style="151" bestFit="1" customWidth="1"/>
    <col min="14851" max="14852" width="13" style="151" bestFit="1" customWidth="1"/>
    <col min="14853" max="14853" width="14.42578125" style="151" bestFit="1" customWidth="1"/>
    <col min="14854" max="14854" width="7.7109375" style="151" bestFit="1" customWidth="1"/>
    <col min="14855" max="14856" width="11" style="151" bestFit="1" customWidth="1"/>
    <col min="14857" max="14857" width="13.5703125" style="151" bestFit="1" customWidth="1"/>
    <col min="14858" max="15104" width="9.140625" style="151"/>
    <col min="15105" max="15105" width="38.28515625" style="151" bestFit="1" customWidth="1"/>
    <col min="15106" max="15106" width="12.7109375" style="151" bestFit="1" customWidth="1"/>
    <col min="15107" max="15108" width="13" style="151" bestFit="1" customWidth="1"/>
    <col min="15109" max="15109" width="14.42578125" style="151" bestFit="1" customWidth="1"/>
    <col min="15110" max="15110" width="7.7109375" style="151" bestFit="1" customWidth="1"/>
    <col min="15111" max="15112" width="11" style="151" bestFit="1" customWidth="1"/>
    <col min="15113" max="15113" width="13.5703125" style="151" bestFit="1" customWidth="1"/>
    <col min="15114" max="15360" width="9.140625" style="151"/>
    <col min="15361" max="15361" width="38.28515625" style="151" bestFit="1" customWidth="1"/>
    <col min="15362" max="15362" width="12.7109375" style="151" bestFit="1" customWidth="1"/>
    <col min="15363" max="15364" width="13" style="151" bestFit="1" customWidth="1"/>
    <col min="15365" max="15365" width="14.42578125" style="151" bestFit="1" customWidth="1"/>
    <col min="15366" max="15366" width="7.7109375" style="151" bestFit="1" customWidth="1"/>
    <col min="15367" max="15368" width="11" style="151" bestFit="1" customWidth="1"/>
    <col min="15369" max="15369" width="13.5703125" style="151" bestFit="1" customWidth="1"/>
    <col min="15370" max="15616" width="9.140625" style="151"/>
    <col min="15617" max="15617" width="38.28515625" style="151" bestFit="1" customWidth="1"/>
    <col min="15618" max="15618" width="12.7109375" style="151" bestFit="1" customWidth="1"/>
    <col min="15619" max="15620" width="13" style="151" bestFit="1" customWidth="1"/>
    <col min="15621" max="15621" width="14.42578125" style="151" bestFit="1" customWidth="1"/>
    <col min="15622" max="15622" width="7.7109375" style="151" bestFit="1" customWidth="1"/>
    <col min="15623" max="15624" width="11" style="151" bestFit="1" customWidth="1"/>
    <col min="15625" max="15625" width="13.5703125" style="151" bestFit="1" customWidth="1"/>
    <col min="15626" max="15872" width="9.140625" style="151"/>
    <col min="15873" max="15873" width="38.28515625" style="151" bestFit="1" customWidth="1"/>
    <col min="15874" max="15874" width="12.7109375" style="151" bestFit="1" customWidth="1"/>
    <col min="15875" max="15876" width="13" style="151" bestFit="1" customWidth="1"/>
    <col min="15877" max="15877" width="14.42578125" style="151" bestFit="1" customWidth="1"/>
    <col min="15878" max="15878" width="7.7109375" style="151" bestFit="1" customWidth="1"/>
    <col min="15879" max="15880" width="11" style="151" bestFit="1" customWidth="1"/>
    <col min="15881" max="15881" width="13.5703125" style="151" bestFit="1" customWidth="1"/>
    <col min="15882" max="16128" width="9.140625" style="151"/>
    <col min="16129" max="16129" width="38.28515625" style="151" bestFit="1" customWidth="1"/>
    <col min="16130" max="16130" width="12.7109375" style="151" bestFit="1" customWidth="1"/>
    <col min="16131" max="16132" width="13" style="151" bestFit="1" customWidth="1"/>
    <col min="16133" max="16133" width="14.42578125" style="151" bestFit="1" customWidth="1"/>
    <col min="16134" max="16134" width="7.7109375" style="151" bestFit="1" customWidth="1"/>
    <col min="16135" max="16136" width="11" style="151" bestFit="1" customWidth="1"/>
    <col min="16137" max="16137" width="13.5703125" style="151" bestFit="1" customWidth="1"/>
    <col min="16138" max="16384" width="9.140625" style="151"/>
  </cols>
  <sheetData>
    <row r="1" spans="1:9">
      <c r="A1" s="150"/>
      <c r="B1" s="332" t="s">
        <v>290</v>
      </c>
      <c r="C1" s="333"/>
      <c r="D1" s="333"/>
      <c r="E1" s="333"/>
      <c r="F1" s="334" t="s">
        <v>290</v>
      </c>
      <c r="G1" s="335"/>
      <c r="H1" s="335"/>
      <c r="I1" s="335"/>
    </row>
    <row r="2" spans="1:9">
      <c r="A2" s="152" t="s">
        <v>0</v>
      </c>
      <c r="B2" s="336" t="s">
        <v>291</v>
      </c>
      <c r="C2" s="337"/>
      <c r="D2" s="337"/>
      <c r="E2" s="337"/>
      <c r="F2" s="338" t="s">
        <v>292</v>
      </c>
      <c r="G2" s="339"/>
      <c r="H2" s="339"/>
      <c r="I2" s="339"/>
    </row>
    <row r="3" spans="1:9">
      <c r="A3" s="152"/>
      <c r="B3" s="153" t="s">
        <v>293</v>
      </c>
      <c r="C3" s="340" t="s">
        <v>294</v>
      </c>
      <c r="D3" s="341"/>
      <c r="E3" s="153" t="s">
        <v>295</v>
      </c>
      <c r="F3" s="153" t="s">
        <v>293</v>
      </c>
      <c r="G3" s="340" t="s">
        <v>294</v>
      </c>
      <c r="H3" s="341"/>
      <c r="I3" s="153" t="s">
        <v>295</v>
      </c>
    </row>
    <row r="4" spans="1:9">
      <c r="A4" s="154"/>
      <c r="B4" s="155" t="s">
        <v>183</v>
      </c>
      <c r="C4" s="156" t="s">
        <v>296</v>
      </c>
      <c r="D4" s="156" t="s">
        <v>297</v>
      </c>
      <c r="E4" s="155" t="s">
        <v>183</v>
      </c>
      <c r="F4" s="155" t="s">
        <v>183</v>
      </c>
      <c r="G4" s="156" t="s">
        <v>296</v>
      </c>
      <c r="H4" s="156" t="s">
        <v>297</v>
      </c>
      <c r="I4" s="155" t="s">
        <v>183</v>
      </c>
    </row>
    <row r="5" spans="1:9">
      <c r="A5" s="157" t="s">
        <v>298</v>
      </c>
      <c r="B5" s="158">
        <v>546444</v>
      </c>
      <c r="C5" s="159">
        <v>1731268</v>
      </c>
      <c r="D5" s="159">
        <v>1219270.75</v>
      </c>
      <c r="E5" s="160">
        <v>34446.75</v>
      </c>
      <c r="F5" s="161"/>
      <c r="G5" s="162">
        <v>50000</v>
      </c>
      <c r="H5" s="162">
        <v>596444</v>
      </c>
      <c r="I5" s="163">
        <v>546444</v>
      </c>
    </row>
    <row r="6" spans="1:9">
      <c r="A6" s="164" t="s">
        <v>299</v>
      </c>
      <c r="B6" s="165">
        <v>187652</v>
      </c>
      <c r="C6" s="166">
        <v>315000</v>
      </c>
      <c r="D6" s="166">
        <v>391056.2</v>
      </c>
      <c r="E6" s="167">
        <v>263708.2</v>
      </c>
      <c r="F6" s="168"/>
      <c r="G6" s="169">
        <v>50000</v>
      </c>
      <c r="H6" s="169">
        <v>237652</v>
      </c>
      <c r="I6" s="170">
        <v>187652</v>
      </c>
    </row>
    <row r="7" spans="1:9">
      <c r="A7" s="164" t="s">
        <v>300</v>
      </c>
      <c r="B7" s="171">
        <v>64053</v>
      </c>
      <c r="C7" s="172">
        <v>354268</v>
      </c>
      <c r="D7" s="172">
        <v>303097.19</v>
      </c>
      <c r="E7" s="173">
        <v>12882.19</v>
      </c>
      <c r="F7" s="174"/>
      <c r="G7" s="175"/>
      <c r="H7" s="176">
        <v>64053</v>
      </c>
      <c r="I7" s="177">
        <v>64053</v>
      </c>
    </row>
    <row r="8" spans="1:9">
      <c r="A8" s="164" t="s">
        <v>301</v>
      </c>
      <c r="B8" s="171">
        <v>294739</v>
      </c>
      <c r="C8" s="172">
        <v>1062000</v>
      </c>
      <c r="D8" s="172">
        <v>525117.36</v>
      </c>
      <c r="E8" s="178">
        <v>242143.64</v>
      </c>
      <c r="F8" s="174"/>
      <c r="G8" s="175"/>
      <c r="H8" s="176">
        <v>294739</v>
      </c>
      <c r="I8" s="177">
        <v>294739</v>
      </c>
    </row>
    <row r="9" spans="1:9">
      <c r="A9" s="157" t="s">
        <v>302</v>
      </c>
      <c r="B9" s="179">
        <v>1009510</v>
      </c>
      <c r="C9" s="180">
        <v>31201066</v>
      </c>
      <c r="D9" s="180">
        <v>33567584</v>
      </c>
      <c r="E9" s="181">
        <v>3376028</v>
      </c>
      <c r="F9" s="182"/>
      <c r="G9" s="183">
        <v>668287</v>
      </c>
      <c r="H9" s="183">
        <v>1677797</v>
      </c>
      <c r="I9" s="184">
        <v>1009510</v>
      </c>
    </row>
    <row r="10" spans="1:9">
      <c r="A10" s="185" t="s">
        <v>303</v>
      </c>
      <c r="B10" s="186">
        <v>91695</v>
      </c>
      <c r="C10" s="162">
        <v>7125027</v>
      </c>
      <c r="D10" s="162">
        <v>7203974</v>
      </c>
      <c r="E10" s="187">
        <v>170642</v>
      </c>
      <c r="F10" s="188"/>
      <c r="G10" s="159">
        <v>316675</v>
      </c>
      <c r="H10" s="159">
        <v>408370</v>
      </c>
      <c r="I10" s="189">
        <v>91695</v>
      </c>
    </row>
    <row r="11" spans="1:9">
      <c r="A11" s="190" t="s">
        <v>255</v>
      </c>
      <c r="B11" s="168"/>
      <c r="C11" s="169">
        <v>7081</v>
      </c>
      <c r="D11" s="169">
        <v>7081</v>
      </c>
      <c r="E11" s="191"/>
      <c r="F11" s="192"/>
      <c r="G11" s="166">
        <v>2343</v>
      </c>
      <c r="H11" s="166">
        <v>2343</v>
      </c>
      <c r="I11" s="193"/>
    </row>
    <row r="12" spans="1:9">
      <c r="A12" s="194" t="s">
        <v>304</v>
      </c>
      <c r="B12" s="174"/>
      <c r="C12" s="176">
        <v>7618</v>
      </c>
      <c r="D12" s="176">
        <v>7618</v>
      </c>
      <c r="E12" s="195"/>
      <c r="F12" s="196"/>
      <c r="G12" s="172">
        <v>3697</v>
      </c>
      <c r="H12" s="172">
        <v>3697</v>
      </c>
      <c r="I12" s="175"/>
    </row>
    <row r="13" spans="1:9">
      <c r="A13" s="190" t="s">
        <v>305</v>
      </c>
      <c r="B13" s="197">
        <v>69762</v>
      </c>
      <c r="C13" s="176">
        <v>470980</v>
      </c>
      <c r="D13" s="176">
        <v>501605</v>
      </c>
      <c r="E13" s="177">
        <v>100387</v>
      </c>
      <c r="F13" s="196"/>
      <c r="G13" s="172">
        <v>5647</v>
      </c>
      <c r="H13" s="172">
        <v>75409</v>
      </c>
      <c r="I13" s="173">
        <v>69762</v>
      </c>
    </row>
    <row r="14" spans="1:9">
      <c r="A14" s="190" t="s">
        <v>306</v>
      </c>
      <c r="B14" s="174"/>
      <c r="C14" s="176">
        <v>3810</v>
      </c>
      <c r="D14" s="176">
        <v>3810</v>
      </c>
      <c r="E14" s="195"/>
      <c r="F14" s="196"/>
      <c r="G14" s="172">
        <v>1848</v>
      </c>
      <c r="H14" s="172">
        <v>1848</v>
      </c>
      <c r="I14" s="175"/>
    </row>
    <row r="15" spans="1:9">
      <c r="A15" s="190" t="s">
        <v>254</v>
      </c>
      <c r="B15" s="174"/>
      <c r="C15" s="176">
        <v>3541</v>
      </c>
      <c r="D15" s="176">
        <v>3541</v>
      </c>
      <c r="E15" s="195"/>
      <c r="F15" s="196"/>
      <c r="G15" s="172">
        <v>1169</v>
      </c>
      <c r="H15" s="172">
        <v>1169</v>
      </c>
      <c r="I15" s="175"/>
    </row>
    <row r="16" spans="1:9">
      <c r="A16" s="190" t="s">
        <v>256</v>
      </c>
      <c r="B16" s="174"/>
      <c r="C16" s="176">
        <v>354041</v>
      </c>
      <c r="D16" s="176">
        <v>354041</v>
      </c>
      <c r="E16" s="195"/>
      <c r="F16" s="196"/>
      <c r="G16" s="172">
        <v>117121</v>
      </c>
      <c r="H16" s="172">
        <v>117121</v>
      </c>
      <c r="I16" s="175"/>
    </row>
    <row r="17" spans="1:9">
      <c r="A17" s="190" t="s">
        <v>253</v>
      </c>
      <c r="B17" s="174"/>
      <c r="C17" s="176">
        <v>2587214</v>
      </c>
      <c r="D17" s="176">
        <v>2587214</v>
      </c>
      <c r="E17" s="195"/>
      <c r="F17" s="196"/>
      <c r="G17" s="195"/>
      <c r="H17" s="195"/>
      <c r="I17" s="175"/>
    </row>
    <row r="18" spans="1:9">
      <c r="A18" s="190" t="s">
        <v>307</v>
      </c>
      <c r="B18" s="174"/>
      <c r="C18" s="176">
        <v>380862</v>
      </c>
      <c r="D18" s="176">
        <v>380862</v>
      </c>
      <c r="E18" s="195"/>
      <c r="F18" s="196"/>
      <c r="G18" s="172">
        <v>184850</v>
      </c>
      <c r="H18" s="172">
        <v>184850</v>
      </c>
      <c r="I18" s="175"/>
    </row>
    <row r="19" spans="1:9">
      <c r="A19" s="190" t="s">
        <v>308</v>
      </c>
      <c r="B19" s="174"/>
      <c r="C19" s="176">
        <v>2899113</v>
      </c>
      <c r="D19" s="176">
        <v>2899113</v>
      </c>
      <c r="E19" s="195"/>
      <c r="F19" s="196"/>
      <c r="G19" s="195"/>
      <c r="H19" s="195"/>
      <c r="I19" s="175"/>
    </row>
    <row r="20" spans="1:9">
      <c r="A20" s="190" t="s">
        <v>309</v>
      </c>
      <c r="B20" s="174"/>
      <c r="C20" s="176">
        <v>19829</v>
      </c>
      <c r="D20" s="176">
        <v>41239</v>
      </c>
      <c r="E20" s="177">
        <v>21410</v>
      </c>
      <c r="F20" s="196"/>
      <c r="G20" s="195"/>
      <c r="H20" s="195"/>
      <c r="I20" s="175"/>
    </row>
    <row r="21" spans="1:9">
      <c r="A21" s="194" t="s">
        <v>272</v>
      </c>
      <c r="B21" s="174"/>
      <c r="C21" s="176">
        <v>14600</v>
      </c>
      <c r="D21" s="176">
        <v>16000</v>
      </c>
      <c r="E21" s="177">
        <v>1400</v>
      </c>
      <c r="F21" s="196"/>
      <c r="G21" s="195"/>
      <c r="H21" s="195"/>
      <c r="I21" s="175"/>
    </row>
    <row r="22" spans="1:9">
      <c r="A22" s="194" t="s">
        <v>310</v>
      </c>
      <c r="B22" s="197">
        <v>21933</v>
      </c>
      <c r="C22" s="176">
        <v>376338</v>
      </c>
      <c r="D22" s="176">
        <v>401850</v>
      </c>
      <c r="E22" s="177">
        <v>47445</v>
      </c>
      <c r="F22" s="196"/>
      <c r="G22" s="195"/>
      <c r="H22" s="172">
        <v>21933</v>
      </c>
      <c r="I22" s="173">
        <v>21933</v>
      </c>
    </row>
    <row r="23" spans="1:9">
      <c r="A23" s="185" t="s">
        <v>311</v>
      </c>
      <c r="B23" s="197">
        <v>861027</v>
      </c>
      <c r="C23" s="172">
        <v>23140417</v>
      </c>
      <c r="D23" s="172">
        <v>25356628</v>
      </c>
      <c r="E23" s="177">
        <v>3077238</v>
      </c>
      <c r="F23" s="196"/>
      <c r="G23" s="176">
        <v>258612</v>
      </c>
      <c r="H23" s="176">
        <v>1119639</v>
      </c>
      <c r="I23" s="173">
        <v>861027</v>
      </c>
    </row>
    <row r="24" spans="1:9">
      <c r="A24" s="185" t="s">
        <v>312</v>
      </c>
      <c r="B24" s="198">
        <v>56788</v>
      </c>
      <c r="C24" s="183">
        <v>935622</v>
      </c>
      <c r="D24" s="183">
        <v>1006982</v>
      </c>
      <c r="E24" s="199">
        <v>128148</v>
      </c>
      <c r="F24" s="200"/>
      <c r="G24" s="180">
        <v>93000</v>
      </c>
      <c r="H24" s="180">
        <v>149788</v>
      </c>
      <c r="I24" s="201">
        <v>56788</v>
      </c>
    </row>
    <row r="25" spans="1:9">
      <c r="A25" s="190" t="s">
        <v>313</v>
      </c>
      <c r="B25" s="168"/>
      <c r="C25" s="193"/>
      <c r="D25" s="169">
        <v>24000</v>
      </c>
      <c r="E25" s="170">
        <v>24000</v>
      </c>
      <c r="F25" s="192"/>
      <c r="G25" s="191"/>
      <c r="H25" s="191"/>
      <c r="I25" s="193"/>
    </row>
    <row r="26" spans="1:9">
      <c r="A26" s="190" t="s">
        <v>314</v>
      </c>
      <c r="B26" s="174"/>
      <c r="C26" s="175"/>
      <c r="D26" s="176">
        <v>20000</v>
      </c>
      <c r="E26" s="177">
        <v>20000</v>
      </c>
      <c r="F26" s="196"/>
      <c r="G26" s="195"/>
      <c r="H26" s="195"/>
      <c r="I26" s="175"/>
    </row>
    <row r="27" spans="1:9">
      <c r="A27" s="190" t="s">
        <v>278</v>
      </c>
      <c r="B27" s="174"/>
      <c r="C27" s="176">
        <v>12334</v>
      </c>
      <c r="D27" s="176">
        <v>13982</v>
      </c>
      <c r="E27" s="177">
        <v>1648</v>
      </c>
      <c r="F27" s="196"/>
      <c r="G27" s="195"/>
      <c r="H27" s="195"/>
      <c r="I27" s="175"/>
    </row>
    <row r="28" spans="1:9">
      <c r="A28" s="194" t="s">
        <v>279</v>
      </c>
      <c r="B28" s="197">
        <v>56000</v>
      </c>
      <c r="C28" s="176">
        <v>922500</v>
      </c>
      <c r="D28" s="176">
        <v>949000</v>
      </c>
      <c r="E28" s="177">
        <v>82500</v>
      </c>
      <c r="F28" s="196"/>
      <c r="G28" s="172">
        <v>93000</v>
      </c>
      <c r="H28" s="172">
        <v>149000</v>
      </c>
      <c r="I28" s="173">
        <v>56000</v>
      </c>
    </row>
    <row r="29" spans="1:9">
      <c r="A29" s="190" t="s">
        <v>280</v>
      </c>
      <c r="B29" s="197">
        <v>788</v>
      </c>
      <c r="C29" s="176">
        <v>788</v>
      </c>
      <c r="D29" s="175"/>
      <c r="E29" s="195"/>
      <c r="F29" s="196"/>
      <c r="G29" s="195"/>
      <c r="H29" s="172">
        <v>788</v>
      </c>
      <c r="I29" s="173">
        <v>788</v>
      </c>
    </row>
    <row r="30" spans="1:9">
      <c r="A30" s="157" t="s">
        <v>315</v>
      </c>
      <c r="B30" s="202">
        <v>9999</v>
      </c>
      <c r="C30" s="180">
        <v>117648</v>
      </c>
      <c r="D30" s="180">
        <v>27666</v>
      </c>
      <c r="E30" s="203">
        <v>99981</v>
      </c>
      <c r="F30" s="182"/>
      <c r="G30" s="183">
        <v>12570</v>
      </c>
      <c r="H30" s="183">
        <v>2571</v>
      </c>
      <c r="I30" s="204">
        <v>9999</v>
      </c>
    </row>
    <row r="31" spans="1:9">
      <c r="A31" s="164" t="s">
        <v>316</v>
      </c>
      <c r="B31" s="192"/>
      <c r="C31" s="166">
        <v>18000</v>
      </c>
      <c r="D31" s="166">
        <v>1800</v>
      </c>
      <c r="E31" s="205">
        <v>16200</v>
      </c>
      <c r="F31" s="168"/>
      <c r="G31" s="193"/>
      <c r="H31" s="193"/>
      <c r="I31" s="191"/>
    </row>
    <row r="32" spans="1:9">
      <c r="A32" s="164" t="s">
        <v>317</v>
      </c>
      <c r="B32" s="196"/>
      <c r="C32" s="172">
        <v>2800</v>
      </c>
      <c r="D32" s="172">
        <v>420</v>
      </c>
      <c r="E32" s="178">
        <v>2380</v>
      </c>
      <c r="F32" s="174"/>
      <c r="G32" s="175"/>
      <c r="H32" s="175"/>
      <c r="I32" s="195"/>
    </row>
    <row r="33" spans="1:9">
      <c r="A33" s="164" t="s">
        <v>318</v>
      </c>
      <c r="B33" s="196"/>
      <c r="C33" s="172">
        <v>54968</v>
      </c>
      <c r="D33" s="172">
        <v>16490</v>
      </c>
      <c r="E33" s="178">
        <v>38478</v>
      </c>
      <c r="F33" s="174"/>
      <c r="G33" s="175"/>
      <c r="H33" s="175"/>
      <c r="I33" s="195"/>
    </row>
    <row r="34" spans="1:9">
      <c r="A34" s="164" t="s">
        <v>189</v>
      </c>
      <c r="B34" s="196"/>
      <c r="C34" s="172">
        <v>15990</v>
      </c>
      <c r="D34" s="172">
        <v>2399</v>
      </c>
      <c r="E34" s="178">
        <v>13591</v>
      </c>
      <c r="F34" s="174"/>
      <c r="G34" s="175"/>
      <c r="H34" s="175"/>
      <c r="I34" s="195"/>
    </row>
    <row r="35" spans="1:9">
      <c r="A35" s="164" t="s">
        <v>319</v>
      </c>
      <c r="B35" s="196"/>
      <c r="C35" s="172">
        <v>17700</v>
      </c>
      <c r="D35" s="172">
        <v>2018</v>
      </c>
      <c r="E35" s="178">
        <v>15682</v>
      </c>
      <c r="F35" s="174"/>
      <c r="G35" s="175"/>
      <c r="H35" s="175"/>
      <c r="I35" s="195"/>
    </row>
    <row r="36" spans="1:9">
      <c r="A36" s="164" t="s">
        <v>157</v>
      </c>
      <c r="B36" s="206">
        <v>4560</v>
      </c>
      <c r="C36" s="172">
        <v>8190</v>
      </c>
      <c r="D36" s="172">
        <v>1275</v>
      </c>
      <c r="E36" s="178">
        <v>11475</v>
      </c>
      <c r="F36" s="174"/>
      <c r="G36" s="176">
        <v>4800</v>
      </c>
      <c r="H36" s="176">
        <v>240</v>
      </c>
      <c r="I36" s="207">
        <v>4560</v>
      </c>
    </row>
    <row r="37" spans="1:9">
      <c r="A37" s="164" t="s">
        <v>320</v>
      </c>
      <c r="B37" s="206">
        <v>5439</v>
      </c>
      <c r="C37" s="195"/>
      <c r="D37" s="172">
        <v>3264</v>
      </c>
      <c r="E37" s="178">
        <v>2175</v>
      </c>
      <c r="F37" s="174"/>
      <c r="G37" s="176">
        <v>7770</v>
      </c>
      <c r="H37" s="176">
        <v>2331</v>
      </c>
      <c r="I37" s="207">
        <v>5439</v>
      </c>
    </row>
    <row r="38" spans="1:9">
      <c r="A38" s="157" t="s">
        <v>321</v>
      </c>
      <c r="B38" s="202">
        <v>1545955</v>
      </c>
      <c r="C38" s="180">
        <v>59221101</v>
      </c>
      <c r="D38" s="180">
        <v>57456562.25</v>
      </c>
      <c r="E38" s="203">
        <v>3310493.75</v>
      </c>
      <c r="F38" s="182"/>
      <c r="G38" s="183">
        <v>3350875</v>
      </c>
      <c r="H38" s="183">
        <v>1804920</v>
      </c>
      <c r="I38" s="204">
        <v>1545955</v>
      </c>
    </row>
    <row r="39" spans="1:9">
      <c r="A39" s="185" t="s">
        <v>322</v>
      </c>
      <c r="B39" s="208">
        <v>243170</v>
      </c>
      <c r="C39" s="162">
        <v>548062</v>
      </c>
      <c r="D39" s="162">
        <v>112000</v>
      </c>
      <c r="E39" s="209">
        <v>679232</v>
      </c>
      <c r="F39" s="188"/>
      <c r="G39" s="159">
        <v>243170</v>
      </c>
      <c r="H39" s="210"/>
      <c r="I39" s="211">
        <v>243170</v>
      </c>
    </row>
    <row r="40" spans="1:9">
      <c r="A40" s="190" t="s">
        <v>282</v>
      </c>
      <c r="B40" s="212">
        <v>212000</v>
      </c>
      <c r="C40" s="193"/>
      <c r="D40" s="169">
        <v>112000</v>
      </c>
      <c r="E40" s="213">
        <v>100000</v>
      </c>
      <c r="F40" s="192"/>
      <c r="G40" s="166">
        <v>212000</v>
      </c>
      <c r="H40" s="191"/>
      <c r="I40" s="205">
        <v>212000</v>
      </c>
    </row>
    <row r="41" spans="1:9">
      <c r="A41" s="194" t="s">
        <v>323</v>
      </c>
      <c r="B41" s="174"/>
      <c r="C41" s="176">
        <v>14000</v>
      </c>
      <c r="D41" s="175"/>
      <c r="E41" s="207">
        <v>14000</v>
      </c>
      <c r="F41" s="196"/>
      <c r="G41" s="195"/>
      <c r="H41" s="195"/>
      <c r="I41" s="175"/>
    </row>
    <row r="42" spans="1:9">
      <c r="A42" s="194" t="s">
        <v>144</v>
      </c>
      <c r="B42" s="214">
        <v>31170</v>
      </c>
      <c r="C42" s="176">
        <v>534062</v>
      </c>
      <c r="D42" s="175"/>
      <c r="E42" s="207">
        <v>565232</v>
      </c>
      <c r="F42" s="196"/>
      <c r="G42" s="172">
        <v>31170</v>
      </c>
      <c r="H42" s="195"/>
      <c r="I42" s="178">
        <v>31170</v>
      </c>
    </row>
    <row r="43" spans="1:9">
      <c r="A43" s="185" t="s">
        <v>284</v>
      </c>
      <c r="B43" s="214">
        <v>557989</v>
      </c>
      <c r="C43" s="172">
        <v>29503749</v>
      </c>
      <c r="D43" s="172">
        <v>28596287</v>
      </c>
      <c r="E43" s="207">
        <v>1465451</v>
      </c>
      <c r="F43" s="196"/>
      <c r="G43" s="176">
        <v>1730932</v>
      </c>
      <c r="H43" s="176">
        <v>1172943</v>
      </c>
      <c r="I43" s="178">
        <v>557989</v>
      </c>
    </row>
    <row r="44" spans="1:9">
      <c r="A44" s="185" t="s">
        <v>324</v>
      </c>
      <c r="B44" s="215">
        <v>42257</v>
      </c>
      <c r="C44" s="183">
        <v>650000</v>
      </c>
      <c r="D44" s="183">
        <v>507834</v>
      </c>
      <c r="E44" s="216">
        <v>184423</v>
      </c>
      <c r="F44" s="200"/>
      <c r="G44" s="180">
        <v>185000</v>
      </c>
      <c r="H44" s="180">
        <v>142743</v>
      </c>
      <c r="I44" s="217">
        <v>42257</v>
      </c>
    </row>
    <row r="45" spans="1:9">
      <c r="A45" s="164" t="s">
        <v>325</v>
      </c>
      <c r="B45" s="212">
        <v>42257</v>
      </c>
      <c r="C45" s="169">
        <v>650000</v>
      </c>
      <c r="D45" s="169">
        <v>507834</v>
      </c>
      <c r="E45" s="213">
        <v>184423</v>
      </c>
      <c r="F45" s="192"/>
      <c r="G45" s="166">
        <v>185000</v>
      </c>
      <c r="H45" s="166">
        <v>142743</v>
      </c>
      <c r="I45" s="205">
        <v>42257</v>
      </c>
    </row>
    <row r="46" spans="1:9">
      <c r="A46" s="185" t="s">
        <v>326</v>
      </c>
      <c r="B46" s="215">
        <v>702539</v>
      </c>
      <c r="C46" s="183">
        <v>28519290</v>
      </c>
      <c r="D46" s="183">
        <v>28240441.25</v>
      </c>
      <c r="E46" s="216">
        <v>981387.75</v>
      </c>
      <c r="F46" s="200"/>
      <c r="G46" s="180">
        <v>1191773</v>
      </c>
      <c r="H46" s="180">
        <v>489234</v>
      </c>
      <c r="I46" s="217">
        <v>702539</v>
      </c>
    </row>
    <row r="47" spans="1:9">
      <c r="A47" s="190" t="s">
        <v>287</v>
      </c>
      <c r="B47" s="212">
        <v>702539</v>
      </c>
      <c r="C47" s="169">
        <v>26666932</v>
      </c>
      <c r="D47" s="169">
        <v>26971551.25</v>
      </c>
      <c r="E47" s="213">
        <v>397919.75</v>
      </c>
      <c r="F47" s="192"/>
      <c r="G47" s="166">
        <v>1191773</v>
      </c>
      <c r="H47" s="166">
        <v>489234</v>
      </c>
      <c r="I47" s="205">
        <v>702539</v>
      </c>
    </row>
    <row r="48" spans="1:9">
      <c r="A48" s="190" t="s">
        <v>288</v>
      </c>
      <c r="B48" s="174"/>
      <c r="C48" s="176">
        <v>1852358</v>
      </c>
      <c r="D48" s="176">
        <v>1268890</v>
      </c>
      <c r="E48" s="207">
        <v>583468</v>
      </c>
      <c r="F48" s="196"/>
      <c r="G48" s="195"/>
      <c r="H48" s="195"/>
      <c r="I48" s="175"/>
    </row>
    <row r="49" spans="1:9">
      <c r="A49" s="157" t="s">
        <v>327</v>
      </c>
      <c r="B49" s="218"/>
      <c r="C49" s="219"/>
      <c r="D49" s="180">
        <v>24537506</v>
      </c>
      <c r="E49" s="181">
        <v>24537506</v>
      </c>
      <c r="F49" s="182"/>
      <c r="G49" s="220"/>
      <c r="H49" s="183">
        <v>1540413</v>
      </c>
      <c r="I49" s="184">
        <v>1540413</v>
      </c>
    </row>
    <row r="50" spans="1:9">
      <c r="A50" s="164" t="s">
        <v>328</v>
      </c>
      <c r="B50" s="192"/>
      <c r="C50" s="191"/>
      <c r="D50" s="166">
        <v>1162048</v>
      </c>
      <c r="E50" s="167">
        <v>1162048</v>
      </c>
      <c r="F50" s="168"/>
      <c r="G50" s="193"/>
      <c r="H50" s="193"/>
      <c r="I50" s="191"/>
    </row>
    <row r="51" spans="1:9">
      <c r="A51" s="164" t="s">
        <v>329</v>
      </c>
      <c r="B51" s="196"/>
      <c r="C51" s="195"/>
      <c r="D51" s="172">
        <v>774868</v>
      </c>
      <c r="E51" s="173">
        <v>774868</v>
      </c>
      <c r="F51" s="174"/>
      <c r="G51" s="175"/>
      <c r="H51" s="175"/>
      <c r="I51" s="195"/>
    </row>
    <row r="52" spans="1:9">
      <c r="A52" s="164" t="s">
        <v>330</v>
      </c>
      <c r="B52" s="196"/>
      <c r="C52" s="195"/>
      <c r="D52" s="172">
        <v>22600590</v>
      </c>
      <c r="E52" s="173">
        <v>22600590</v>
      </c>
      <c r="F52" s="174"/>
      <c r="G52" s="175"/>
      <c r="H52" s="176">
        <v>1540413</v>
      </c>
      <c r="I52" s="177">
        <v>1540413</v>
      </c>
    </row>
    <row r="53" spans="1:9">
      <c r="A53" s="157" t="s">
        <v>331</v>
      </c>
      <c r="B53" s="218"/>
      <c r="C53" s="180">
        <v>22086024</v>
      </c>
      <c r="D53" s="219"/>
      <c r="E53" s="203">
        <v>22086024</v>
      </c>
      <c r="F53" s="182"/>
      <c r="G53" s="183">
        <v>976006</v>
      </c>
      <c r="H53" s="220"/>
      <c r="I53" s="204">
        <v>976006</v>
      </c>
    </row>
    <row r="54" spans="1:9">
      <c r="A54" s="164" t="s">
        <v>252</v>
      </c>
      <c r="B54" s="192"/>
      <c r="C54" s="166">
        <v>4207514</v>
      </c>
      <c r="D54" s="191"/>
      <c r="E54" s="205">
        <v>4207514</v>
      </c>
      <c r="F54" s="168"/>
      <c r="G54" s="193"/>
      <c r="H54" s="193"/>
      <c r="I54" s="191"/>
    </row>
    <row r="55" spans="1:9">
      <c r="A55" s="164" t="s">
        <v>332</v>
      </c>
      <c r="B55" s="196"/>
      <c r="C55" s="172">
        <v>17878510</v>
      </c>
      <c r="D55" s="195"/>
      <c r="E55" s="178">
        <v>17878510</v>
      </c>
      <c r="F55" s="174"/>
      <c r="G55" s="176">
        <v>976006</v>
      </c>
      <c r="H55" s="175"/>
      <c r="I55" s="207">
        <v>976006</v>
      </c>
    </row>
    <row r="56" spans="1:9">
      <c r="A56" s="157" t="s">
        <v>333</v>
      </c>
      <c r="B56" s="218"/>
      <c r="C56" s="180">
        <v>2361511.44</v>
      </c>
      <c r="D56" s="180">
        <v>11203</v>
      </c>
      <c r="E56" s="203">
        <v>2350308.44</v>
      </c>
      <c r="F56" s="182"/>
      <c r="G56" s="183">
        <v>467140</v>
      </c>
      <c r="H56" s="183">
        <v>124</v>
      </c>
      <c r="I56" s="204">
        <v>467016</v>
      </c>
    </row>
    <row r="57" spans="1:9">
      <c r="A57" s="185" t="s">
        <v>334</v>
      </c>
      <c r="B57" s="221"/>
      <c r="C57" s="162">
        <v>2316049.19</v>
      </c>
      <c r="D57" s="162">
        <v>10000</v>
      </c>
      <c r="E57" s="209">
        <v>2306049.19</v>
      </c>
      <c r="F57" s="188"/>
      <c r="G57" s="159">
        <v>428669</v>
      </c>
      <c r="H57" s="210"/>
      <c r="I57" s="211">
        <v>428669</v>
      </c>
    </row>
    <row r="58" spans="1:9">
      <c r="A58" s="222" t="s">
        <v>335</v>
      </c>
      <c r="B58" s="188"/>
      <c r="C58" s="159">
        <v>6637</v>
      </c>
      <c r="D58" s="210"/>
      <c r="E58" s="211">
        <v>6637</v>
      </c>
      <c r="F58" s="221"/>
      <c r="G58" s="223"/>
      <c r="H58" s="223"/>
      <c r="I58" s="223"/>
    </row>
    <row r="59" spans="1:9">
      <c r="A59" s="190" t="s">
        <v>195</v>
      </c>
      <c r="B59" s="192"/>
      <c r="C59" s="166">
        <v>3437</v>
      </c>
      <c r="D59" s="191"/>
      <c r="E59" s="205">
        <v>3437</v>
      </c>
      <c r="F59" s="168"/>
      <c r="G59" s="193"/>
      <c r="H59" s="193"/>
      <c r="I59" s="191"/>
    </row>
    <row r="60" spans="1:9">
      <c r="A60" s="190" t="s">
        <v>202</v>
      </c>
      <c r="B60" s="196"/>
      <c r="C60" s="172">
        <v>3200</v>
      </c>
      <c r="D60" s="195"/>
      <c r="E60" s="178">
        <v>3200</v>
      </c>
      <c r="F60" s="174"/>
      <c r="G60" s="175"/>
      <c r="H60" s="175"/>
      <c r="I60" s="195"/>
    </row>
    <row r="61" spans="1:9">
      <c r="A61" s="190" t="s">
        <v>336</v>
      </c>
      <c r="B61" s="174"/>
      <c r="C61" s="176">
        <v>24000</v>
      </c>
      <c r="D61" s="175"/>
      <c r="E61" s="207">
        <v>24000</v>
      </c>
      <c r="F61" s="196"/>
      <c r="G61" s="195"/>
      <c r="H61" s="195"/>
      <c r="I61" s="175"/>
    </row>
    <row r="62" spans="1:9">
      <c r="A62" s="194" t="s">
        <v>337</v>
      </c>
      <c r="B62" s="174"/>
      <c r="C62" s="176">
        <v>20000</v>
      </c>
      <c r="D62" s="175"/>
      <c r="E62" s="207">
        <v>20000</v>
      </c>
      <c r="F62" s="196"/>
      <c r="G62" s="195"/>
      <c r="H62" s="195"/>
      <c r="I62" s="175"/>
    </row>
    <row r="63" spans="1:9">
      <c r="A63" s="194" t="s">
        <v>338</v>
      </c>
      <c r="B63" s="174"/>
      <c r="C63" s="176">
        <v>85200</v>
      </c>
      <c r="D63" s="175"/>
      <c r="E63" s="207">
        <v>85200</v>
      </c>
      <c r="F63" s="196"/>
      <c r="G63" s="195"/>
      <c r="H63" s="195"/>
      <c r="I63" s="175"/>
    </row>
    <row r="64" spans="1:9">
      <c r="A64" s="190" t="s">
        <v>339</v>
      </c>
      <c r="B64" s="174"/>
      <c r="C64" s="176">
        <v>8099</v>
      </c>
      <c r="D64" s="175"/>
      <c r="E64" s="207">
        <v>8099</v>
      </c>
      <c r="F64" s="196"/>
      <c r="G64" s="195"/>
      <c r="H64" s="195"/>
      <c r="I64" s="175"/>
    </row>
    <row r="65" spans="1:9">
      <c r="A65" s="194" t="s">
        <v>149</v>
      </c>
      <c r="B65" s="174"/>
      <c r="C65" s="176">
        <v>95763.19</v>
      </c>
      <c r="D65" s="175"/>
      <c r="E65" s="207">
        <v>95763.19</v>
      </c>
      <c r="F65" s="196"/>
      <c r="G65" s="172">
        <v>3435</v>
      </c>
      <c r="H65" s="195"/>
      <c r="I65" s="178">
        <v>3435</v>
      </c>
    </row>
    <row r="66" spans="1:9">
      <c r="A66" s="190" t="s">
        <v>340</v>
      </c>
      <c r="B66" s="174"/>
      <c r="C66" s="176">
        <v>67010</v>
      </c>
      <c r="D66" s="175"/>
      <c r="E66" s="207">
        <v>67010</v>
      </c>
      <c r="F66" s="196"/>
      <c r="G66" s="195"/>
      <c r="H66" s="195"/>
      <c r="I66" s="175"/>
    </row>
    <row r="67" spans="1:9">
      <c r="A67" s="190" t="s">
        <v>150</v>
      </c>
      <c r="B67" s="174"/>
      <c r="C67" s="176">
        <v>5000</v>
      </c>
      <c r="D67" s="175"/>
      <c r="E67" s="207">
        <v>5000</v>
      </c>
      <c r="F67" s="196"/>
      <c r="G67" s="172">
        <v>24855</v>
      </c>
      <c r="H67" s="195"/>
      <c r="I67" s="178">
        <v>24855</v>
      </c>
    </row>
    <row r="68" spans="1:9">
      <c r="A68" s="194" t="s">
        <v>341</v>
      </c>
      <c r="B68" s="174"/>
      <c r="C68" s="176">
        <v>8268</v>
      </c>
      <c r="D68" s="175"/>
      <c r="E68" s="207">
        <v>8268</v>
      </c>
      <c r="F68" s="196"/>
      <c r="G68" s="195"/>
      <c r="H68" s="195"/>
      <c r="I68" s="175"/>
    </row>
    <row r="69" spans="1:9">
      <c r="A69" s="194" t="s">
        <v>342</v>
      </c>
      <c r="B69" s="174"/>
      <c r="C69" s="176">
        <v>124666</v>
      </c>
      <c r="D69" s="176">
        <v>10000</v>
      </c>
      <c r="E69" s="207">
        <v>114666</v>
      </c>
      <c r="F69" s="196"/>
      <c r="G69" s="195"/>
      <c r="H69" s="195"/>
      <c r="I69" s="175"/>
    </row>
    <row r="70" spans="1:9">
      <c r="A70" s="194" t="s">
        <v>343</v>
      </c>
      <c r="B70" s="174"/>
      <c r="C70" s="176">
        <v>14727</v>
      </c>
      <c r="D70" s="175"/>
      <c r="E70" s="207">
        <v>14727</v>
      </c>
      <c r="F70" s="196"/>
      <c r="G70" s="195"/>
      <c r="H70" s="195"/>
      <c r="I70" s="175"/>
    </row>
    <row r="71" spans="1:9">
      <c r="A71" s="194" t="s">
        <v>344</v>
      </c>
      <c r="B71" s="174"/>
      <c r="C71" s="176">
        <v>33118</v>
      </c>
      <c r="D71" s="175"/>
      <c r="E71" s="207">
        <v>33118</v>
      </c>
      <c r="F71" s="196"/>
      <c r="G71" s="195"/>
      <c r="H71" s="195"/>
      <c r="I71" s="175"/>
    </row>
    <row r="72" spans="1:9">
      <c r="A72" s="190" t="s">
        <v>151</v>
      </c>
      <c r="B72" s="174"/>
      <c r="C72" s="176">
        <v>10881</v>
      </c>
      <c r="D72" s="175"/>
      <c r="E72" s="207">
        <v>10881</v>
      </c>
      <c r="F72" s="196"/>
      <c r="G72" s="172">
        <v>3957</v>
      </c>
      <c r="H72" s="195"/>
      <c r="I72" s="178">
        <v>3957</v>
      </c>
    </row>
    <row r="73" spans="1:9">
      <c r="A73" s="190" t="s">
        <v>194</v>
      </c>
      <c r="B73" s="174"/>
      <c r="C73" s="176">
        <v>14739</v>
      </c>
      <c r="D73" s="175"/>
      <c r="E73" s="207">
        <v>14739</v>
      </c>
      <c r="F73" s="196"/>
      <c r="G73" s="195"/>
      <c r="H73" s="195"/>
      <c r="I73" s="175"/>
    </row>
    <row r="74" spans="1:9">
      <c r="A74" s="194" t="s">
        <v>153</v>
      </c>
      <c r="B74" s="174"/>
      <c r="C74" s="176">
        <v>12140</v>
      </c>
      <c r="D74" s="175"/>
      <c r="E74" s="207">
        <v>12140</v>
      </c>
      <c r="F74" s="196"/>
      <c r="G74" s="172">
        <v>10350</v>
      </c>
      <c r="H74" s="195"/>
      <c r="I74" s="178">
        <v>10350</v>
      </c>
    </row>
    <row r="75" spans="1:9">
      <c r="A75" s="194" t="s">
        <v>345</v>
      </c>
      <c r="B75" s="174"/>
      <c r="C75" s="176">
        <v>11164</v>
      </c>
      <c r="D75" s="175"/>
      <c r="E75" s="207">
        <v>11164</v>
      </c>
      <c r="F75" s="196"/>
      <c r="G75" s="195"/>
      <c r="H75" s="195"/>
      <c r="I75" s="175"/>
    </row>
    <row r="76" spans="1:9">
      <c r="A76" s="190" t="s">
        <v>346</v>
      </c>
      <c r="B76" s="174"/>
      <c r="C76" s="176">
        <v>910</v>
      </c>
      <c r="D76" s="175"/>
      <c r="E76" s="207">
        <v>910</v>
      </c>
      <c r="F76" s="196"/>
      <c r="G76" s="172">
        <v>139</v>
      </c>
      <c r="H76" s="195"/>
      <c r="I76" s="178">
        <v>139</v>
      </c>
    </row>
    <row r="77" spans="1:9">
      <c r="A77" s="190" t="s">
        <v>154</v>
      </c>
      <c r="B77" s="174"/>
      <c r="C77" s="176">
        <v>8900</v>
      </c>
      <c r="D77" s="175"/>
      <c r="E77" s="207">
        <v>8900</v>
      </c>
      <c r="F77" s="196"/>
      <c r="G77" s="172">
        <v>8545</v>
      </c>
      <c r="H77" s="195"/>
      <c r="I77" s="178">
        <v>8545</v>
      </c>
    </row>
    <row r="78" spans="1:9">
      <c r="A78" s="194" t="s">
        <v>347</v>
      </c>
      <c r="B78" s="174"/>
      <c r="C78" s="176">
        <v>175000</v>
      </c>
      <c r="D78" s="175"/>
      <c r="E78" s="207">
        <v>175000</v>
      </c>
      <c r="F78" s="196"/>
      <c r="G78" s="172">
        <v>20000</v>
      </c>
      <c r="H78" s="195"/>
      <c r="I78" s="178">
        <v>20000</v>
      </c>
    </row>
    <row r="79" spans="1:9">
      <c r="A79" s="194" t="s">
        <v>348</v>
      </c>
      <c r="B79" s="174"/>
      <c r="C79" s="176">
        <v>1519000</v>
      </c>
      <c r="D79" s="175"/>
      <c r="E79" s="207">
        <v>1519000</v>
      </c>
      <c r="F79" s="196"/>
      <c r="G79" s="172">
        <v>349000</v>
      </c>
      <c r="H79" s="195"/>
      <c r="I79" s="178">
        <v>349000</v>
      </c>
    </row>
    <row r="80" spans="1:9">
      <c r="A80" s="194" t="s">
        <v>349</v>
      </c>
      <c r="B80" s="174"/>
      <c r="C80" s="176">
        <v>3728</v>
      </c>
      <c r="D80" s="175"/>
      <c r="E80" s="207">
        <v>3728</v>
      </c>
      <c r="F80" s="196"/>
      <c r="G80" s="195"/>
      <c r="H80" s="195"/>
      <c r="I80" s="175"/>
    </row>
    <row r="81" spans="1:9">
      <c r="A81" s="190" t="s">
        <v>251</v>
      </c>
      <c r="B81" s="174"/>
      <c r="C81" s="176">
        <v>34428</v>
      </c>
      <c r="D81" s="175"/>
      <c r="E81" s="207">
        <v>34428</v>
      </c>
      <c r="F81" s="196"/>
      <c r="G81" s="195"/>
      <c r="H81" s="195"/>
      <c r="I81" s="175"/>
    </row>
    <row r="82" spans="1:9">
      <c r="A82" s="190" t="s">
        <v>156</v>
      </c>
      <c r="B82" s="174"/>
      <c r="C82" s="176">
        <v>32671</v>
      </c>
      <c r="D82" s="175"/>
      <c r="E82" s="207">
        <v>32671</v>
      </c>
      <c r="F82" s="196"/>
      <c r="G82" s="172">
        <v>8388</v>
      </c>
      <c r="H82" s="195"/>
      <c r="I82" s="178">
        <v>8388</v>
      </c>
    </row>
    <row r="83" spans="1:9">
      <c r="A83" s="185" t="s">
        <v>350</v>
      </c>
      <c r="B83" s="224"/>
      <c r="C83" s="183">
        <v>1322.25</v>
      </c>
      <c r="D83" s="220"/>
      <c r="E83" s="216">
        <v>1322.25</v>
      </c>
      <c r="F83" s="200"/>
      <c r="G83" s="219"/>
      <c r="H83" s="219"/>
      <c r="I83" s="219"/>
    </row>
    <row r="84" spans="1:9">
      <c r="A84" s="194" t="s">
        <v>192</v>
      </c>
      <c r="B84" s="168"/>
      <c r="C84" s="169">
        <v>1322.25</v>
      </c>
      <c r="D84" s="193"/>
      <c r="E84" s="213">
        <v>1322.25</v>
      </c>
      <c r="F84" s="192"/>
      <c r="G84" s="191"/>
      <c r="H84" s="191"/>
      <c r="I84" s="193"/>
    </row>
    <row r="85" spans="1:9">
      <c r="A85" s="185" t="s">
        <v>351</v>
      </c>
      <c r="B85" s="224"/>
      <c r="C85" s="183">
        <v>16474</v>
      </c>
      <c r="D85" s="183">
        <v>1203</v>
      </c>
      <c r="E85" s="216">
        <v>15271</v>
      </c>
      <c r="F85" s="200"/>
      <c r="G85" s="180">
        <v>20200</v>
      </c>
      <c r="H85" s="180">
        <v>124</v>
      </c>
      <c r="I85" s="217">
        <v>20076</v>
      </c>
    </row>
    <row r="86" spans="1:9">
      <c r="A86" s="190" t="s">
        <v>352</v>
      </c>
      <c r="B86" s="168"/>
      <c r="C86" s="169">
        <v>13444</v>
      </c>
      <c r="D86" s="193"/>
      <c r="E86" s="213">
        <v>13444</v>
      </c>
      <c r="F86" s="192"/>
      <c r="G86" s="166">
        <v>20200</v>
      </c>
      <c r="H86" s="191"/>
      <c r="I86" s="205">
        <v>20200</v>
      </c>
    </row>
    <row r="87" spans="1:9">
      <c r="A87" s="194" t="s">
        <v>199</v>
      </c>
      <c r="B87" s="174"/>
      <c r="C87" s="176">
        <v>3030</v>
      </c>
      <c r="D87" s="176">
        <v>1203</v>
      </c>
      <c r="E87" s="207">
        <v>1827</v>
      </c>
      <c r="F87" s="196"/>
      <c r="G87" s="195"/>
      <c r="H87" s="172">
        <v>124</v>
      </c>
      <c r="I87" s="173">
        <v>124</v>
      </c>
    </row>
    <row r="88" spans="1:9">
      <c r="A88" s="164" t="s">
        <v>353</v>
      </c>
      <c r="B88" s="196"/>
      <c r="C88" s="172">
        <v>27666</v>
      </c>
      <c r="D88" s="195"/>
      <c r="E88" s="178">
        <v>27666</v>
      </c>
      <c r="F88" s="174"/>
      <c r="G88" s="176">
        <v>2571</v>
      </c>
      <c r="H88" s="175"/>
      <c r="I88" s="207">
        <v>2571</v>
      </c>
    </row>
    <row r="89" spans="1:9">
      <c r="A89" s="164" t="s">
        <v>152</v>
      </c>
      <c r="B89" s="196"/>
      <c r="C89" s="195"/>
      <c r="D89" s="195"/>
      <c r="E89" s="175"/>
      <c r="F89" s="174"/>
      <c r="G89" s="176">
        <v>15700</v>
      </c>
      <c r="H89" s="175"/>
      <c r="I89" s="207">
        <v>15700</v>
      </c>
    </row>
    <row r="90" spans="1:9">
      <c r="A90" s="225" t="s">
        <v>354</v>
      </c>
      <c r="B90" s="174"/>
      <c r="C90" s="176">
        <v>101173.56</v>
      </c>
      <c r="D90" s="175"/>
      <c r="E90" s="207">
        <v>101173.56</v>
      </c>
      <c r="F90" s="196"/>
      <c r="G90" s="172">
        <v>97391</v>
      </c>
      <c r="H90" s="195"/>
      <c r="I90" s="178">
        <v>97391</v>
      </c>
    </row>
    <row r="91" spans="1:9">
      <c r="A91" s="226" t="s">
        <v>231</v>
      </c>
      <c r="B91" s="227"/>
      <c r="C91" s="228">
        <v>116819792</v>
      </c>
      <c r="D91" s="228">
        <v>116819792</v>
      </c>
      <c r="E91" s="229"/>
      <c r="F91" s="227"/>
      <c r="G91" s="230">
        <v>5622269</v>
      </c>
      <c r="H91" s="230">
        <v>5622269</v>
      </c>
      <c r="I91" s="229"/>
    </row>
  </sheetData>
  <mergeCells count="6">
    <mergeCell ref="B1:E1"/>
    <mergeCell ref="F1:I1"/>
    <mergeCell ref="B2:E2"/>
    <mergeCell ref="F2:I2"/>
    <mergeCell ref="C3:D3"/>
    <mergeCell ref="G3:H3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1"/>
  <sheetViews>
    <sheetView view="pageBreakPreview" topLeftCell="B1" zoomScaleSheetLayoutView="100" workbookViewId="0">
      <selection activeCell="B43" sqref="B43:D55"/>
    </sheetView>
  </sheetViews>
  <sheetFormatPr defaultRowHeight="12.75"/>
  <cols>
    <col min="1" max="1" width="3.28515625" style="14" hidden="1" customWidth="1"/>
    <col min="2" max="2" width="5.140625" style="14" customWidth="1"/>
    <col min="3" max="3" width="3.28515625" style="14" hidden="1" customWidth="1"/>
    <col min="4" max="4" width="49.7109375" style="38" customWidth="1"/>
    <col min="5" max="5" width="11.28515625" style="86" customWidth="1"/>
    <col min="6" max="6" width="19.7109375" style="44" customWidth="1"/>
    <col min="7" max="7" width="18.7109375" style="14" customWidth="1"/>
    <col min="8" max="8" width="4" style="14" customWidth="1"/>
    <col min="9" max="9" width="21.140625" style="14" hidden="1" customWidth="1"/>
    <col min="10" max="10" width="13.140625" style="14" bestFit="1" customWidth="1"/>
    <col min="11" max="16384" width="9.140625" style="14"/>
  </cols>
  <sheetData>
    <row r="1" spans="1:10" ht="15.75">
      <c r="A1" s="56"/>
      <c r="B1" s="304" t="s">
        <v>402</v>
      </c>
      <c r="C1" s="304"/>
      <c r="D1" s="304"/>
      <c r="E1" s="304"/>
      <c r="F1" s="304"/>
      <c r="G1" s="304"/>
      <c r="H1" s="304"/>
      <c r="I1" s="304"/>
      <c r="J1" s="56"/>
    </row>
    <row r="2" spans="1:10" ht="15.75">
      <c r="A2" s="56"/>
      <c r="B2" s="304" t="s">
        <v>381</v>
      </c>
      <c r="C2" s="304"/>
      <c r="D2" s="304"/>
      <c r="E2" s="304"/>
      <c r="F2" s="304"/>
      <c r="G2" s="304"/>
      <c r="H2" s="304"/>
      <c r="I2" s="304"/>
      <c r="J2" s="56"/>
    </row>
    <row r="3" spans="1:10" ht="15.75">
      <c r="A3" s="303" t="s">
        <v>403</v>
      </c>
      <c r="B3" s="303"/>
      <c r="C3" s="303"/>
      <c r="D3" s="303"/>
      <c r="E3" s="303"/>
      <c r="F3" s="303"/>
      <c r="G3" s="303"/>
      <c r="H3" s="303"/>
      <c r="I3" s="25"/>
      <c r="J3" s="56"/>
    </row>
    <row r="4" spans="1:10" ht="15.75">
      <c r="A4" s="58"/>
      <c r="B4" s="306"/>
      <c r="C4" s="306"/>
      <c r="D4" s="306"/>
      <c r="E4" s="306"/>
      <c r="F4" s="306"/>
      <c r="G4" s="306"/>
      <c r="H4" s="306"/>
      <c r="I4" s="59" t="s">
        <v>95</v>
      </c>
      <c r="J4" s="56"/>
    </row>
    <row r="5" spans="1:10" ht="15.75">
      <c r="A5" s="60"/>
      <c r="B5" s="61"/>
      <c r="C5" s="61"/>
      <c r="D5" s="308" t="s">
        <v>0</v>
      </c>
      <c r="E5" s="310" t="s">
        <v>1</v>
      </c>
      <c r="F5" s="57" t="s">
        <v>24</v>
      </c>
      <c r="G5" s="57" t="s">
        <v>24</v>
      </c>
      <c r="H5" s="23"/>
      <c r="I5" s="24"/>
      <c r="J5" s="56"/>
    </row>
    <row r="6" spans="1:10" ht="15.75">
      <c r="A6" s="60"/>
      <c r="B6" s="62"/>
      <c r="C6" s="62"/>
      <c r="D6" s="309"/>
      <c r="E6" s="311"/>
      <c r="F6" s="59" t="s">
        <v>382</v>
      </c>
      <c r="G6" s="59" t="s">
        <v>190</v>
      </c>
      <c r="H6" s="59"/>
      <c r="I6" s="24"/>
      <c r="J6" s="56"/>
    </row>
    <row r="7" spans="1:10" ht="15.75">
      <c r="A7" s="58"/>
      <c r="B7" s="63" t="s">
        <v>25</v>
      </c>
      <c r="C7" s="64"/>
      <c r="D7" s="65" t="s">
        <v>106</v>
      </c>
      <c r="F7" s="27"/>
      <c r="G7" s="23"/>
      <c r="H7" s="23"/>
      <c r="I7" s="24"/>
      <c r="J7" s="56"/>
    </row>
    <row r="8" spans="1:10" ht="15">
      <c r="A8" s="56"/>
      <c r="B8" s="23"/>
      <c r="C8" s="24"/>
      <c r="D8" s="66"/>
      <c r="F8" s="27"/>
      <c r="G8" s="23"/>
      <c r="H8" s="27"/>
      <c r="I8" s="27" t="e">
        <f>+'BS Sch'!#REF!</f>
        <v>#REF!</v>
      </c>
      <c r="J8" s="56"/>
    </row>
    <row r="9" spans="1:10" ht="15.75">
      <c r="A9" s="56"/>
      <c r="B9" s="23" t="s">
        <v>2</v>
      </c>
      <c r="C9" s="64"/>
      <c r="D9" s="65" t="s">
        <v>107</v>
      </c>
      <c r="F9" s="27"/>
      <c r="G9" s="23"/>
      <c r="H9" s="27"/>
      <c r="I9" s="27" t="e">
        <f>'BS Sch'!F32</f>
        <v>#REF!</v>
      </c>
      <c r="J9" s="56"/>
    </row>
    <row r="10" spans="1:10" ht="15">
      <c r="A10" s="56"/>
      <c r="B10" s="23"/>
      <c r="C10" s="24"/>
      <c r="D10" s="66" t="s">
        <v>108</v>
      </c>
      <c r="E10" s="87">
        <v>1</v>
      </c>
      <c r="F10" s="27">
        <f>+'BS Sch'!C15+'BS Sch'!C22</f>
        <v>-861059.96000000101</v>
      </c>
      <c r="G10" s="27">
        <f>+'BS Sch'!D15+'BS Sch'!D22</f>
        <v>37536.749999999884</v>
      </c>
      <c r="H10" s="27"/>
      <c r="I10" s="27">
        <v>0</v>
      </c>
      <c r="J10" s="56"/>
    </row>
    <row r="11" spans="1:10" ht="15">
      <c r="A11" s="56"/>
      <c r="B11" s="23"/>
      <c r="C11" s="24"/>
      <c r="D11" s="66" t="s">
        <v>140</v>
      </c>
      <c r="E11" s="86">
        <v>2</v>
      </c>
      <c r="F11" s="27">
        <f>+'BS Sch'!C32</f>
        <v>0</v>
      </c>
      <c r="G11" s="27">
        <v>0</v>
      </c>
      <c r="H11" s="27"/>
      <c r="I11" s="27"/>
      <c r="J11" s="56"/>
    </row>
    <row r="12" spans="1:10" ht="15">
      <c r="A12" s="56"/>
      <c r="B12" s="23"/>
      <c r="C12" s="24"/>
      <c r="D12" s="66"/>
      <c r="F12" s="27"/>
      <c r="G12" s="27"/>
      <c r="H12" s="27"/>
      <c r="I12" s="28"/>
      <c r="J12" s="56"/>
    </row>
    <row r="13" spans="1:10" ht="15.75">
      <c r="A13" s="56"/>
      <c r="B13" s="23" t="s">
        <v>3</v>
      </c>
      <c r="C13" s="64"/>
      <c r="D13" s="65" t="s">
        <v>109</v>
      </c>
      <c r="F13" s="27"/>
      <c r="G13" s="27"/>
      <c r="H13" s="27"/>
      <c r="I13" s="27">
        <v>0</v>
      </c>
      <c r="J13" s="56"/>
    </row>
    <row r="14" spans="1:10" ht="15">
      <c r="A14" s="56"/>
      <c r="B14" s="23"/>
      <c r="C14" s="24"/>
      <c r="D14" s="16" t="s">
        <v>110</v>
      </c>
      <c r="F14" s="27">
        <v>1223826.79</v>
      </c>
      <c r="G14" s="27">
        <v>0</v>
      </c>
      <c r="H14" s="27"/>
      <c r="I14" s="27">
        <f>'BS Sch'!F39</f>
        <v>0</v>
      </c>
      <c r="J14" s="56"/>
    </row>
    <row r="15" spans="1:10" ht="15">
      <c r="A15" s="56"/>
      <c r="B15" s="23"/>
      <c r="C15" s="24"/>
      <c r="D15" s="16" t="s">
        <v>111</v>
      </c>
      <c r="F15" s="27">
        <v>0</v>
      </c>
      <c r="G15" s="27">
        <v>0</v>
      </c>
      <c r="H15" s="27"/>
      <c r="I15" s="27" t="e">
        <f>'BS Sch'!#REF!</f>
        <v>#REF!</v>
      </c>
      <c r="J15" s="56"/>
    </row>
    <row r="16" spans="1:10" ht="15">
      <c r="A16" s="56"/>
      <c r="B16" s="23"/>
      <c r="C16" s="24"/>
      <c r="D16" s="16" t="s">
        <v>112</v>
      </c>
      <c r="F16" s="27"/>
      <c r="G16" s="27"/>
      <c r="H16" s="27"/>
      <c r="I16" s="28"/>
      <c r="J16" s="56"/>
    </row>
    <row r="17" spans="1:10" ht="15">
      <c r="A17" s="56"/>
      <c r="B17" s="23"/>
      <c r="C17" s="24"/>
      <c r="D17" s="67" t="s">
        <v>113</v>
      </c>
      <c r="E17" s="86">
        <v>3</v>
      </c>
      <c r="F17" s="43">
        <f>+'BS Sch'!C39</f>
        <v>274634</v>
      </c>
      <c r="G17" s="43">
        <f>+'BS Sch'!D39</f>
        <v>3218556</v>
      </c>
      <c r="H17" s="27"/>
      <c r="I17" s="28"/>
      <c r="J17" s="56"/>
    </row>
    <row r="18" spans="1:10" ht="15">
      <c r="A18" s="56"/>
      <c r="B18" s="23"/>
      <c r="C18" s="24"/>
      <c r="D18" s="16" t="s">
        <v>114</v>
      </c>
      <c r="F18" s="27">
        <f>+grouping!C81</f>
        <v>139599</v>
      </c>
      <c r="G18" s="27">
        <f>+grouping!D81</f>
        <v>96659</v>
      </c>
      <c r="H18" s="27"/>
      <c r="I18" s="27" t="e">
        <f>'BS Sch'!#REF!</f>
        <v>#REF!</v>
      </c>
      <c r="J18" s="56"/>
    </row>
    <row r="19" spans="1:10" ht="15.75">
      <c r="A19" s="56"/>
      <c r="B19" s="23"/>
      <c r="C19" s="64"/>
      <c r="D19" s="16" t="s">
        <v>115</v>
      </c>
      <c r="E19" s="86">
        <v>4</v>
      </c>
      <c r="F19" s="27">
        <f>'BS Sch'!C47+956045.23</f>
        <v>1219948.23</v>
      </c>
      <c r="G19" s="27">
        <f>'BS Sch'!D47</f>
        <v>298790</v>
      </c>
      <c r="H19" s="27"/>
      <c r="I19" s="27">
        <v>0</v>
      </c>
      <c r="J19" s="56"/>
    </row>
    <row r="20" spans="1:10" ht="15">
      <c r="A20" s="56"/>
      <c r="B20" s="23"/>
      <c r="C20" s="24"/>
      <c r="D20" s="16" t="s">
        <v>116</v>
      </c>
      <c r="F20" s="27"/>
      <c r="G20" s="27"/>
      <c r="H20" s="27"/>
      <c r="I20" s="27" t="e">
        <f>'BS Sch'!F47</f>
        <v>#REF!</v>
      </c>
      <c r="J20" s="56"/>
    </row>
    <row r="21" spans="1:10" ht="15">
      <c r="A21" s="56"/>
      <c r="B21" s="23"/>
      <c r="C21" s="24"/>
      <c r="D21" s="16" t="s">
        <v>117</v>
      </c>
      <c r="F21" s="27"/>
      <c r="G21" s="27">
        <v>0</v>
      </c>
      <c r="H21" s="27"/>
      <c r="I21" s="27" t="e">
        <f>'BS Sch'!#REF!</f>
        <v>#REF!</v>
      </c>
      <c r="J21" s="56"/>
    </row>
    <row r="22" spans="1:10" ht="15">
      <c r="A22" s="56"/>
      <c r="B22" s="23"/>
      <c r="C22" s="24"/>
      <c r="D22" s="16" t="s">
        <v>118</v>
      </c>
      <c r="F22" s="27">
        <v>0</v>
      </c>
      <c r="G22" s="27">
        <v>0</v>
      </c>
      <c r="H22" s="27"/>
      <c r="I22" s="28"/>
      <c r="J22" s="56"/>
    </row>
    <row r="23" spans="1:10" ht="15.75" thickBot="1">
      <c r="A23" s="56"/>
      <c r="B23" s="23"/>
      <c r="C23" s="24"/>
      <c r="D23" s="16" t="s">
        <v>119</v>
      </c>
      <c r="F23" s="27"/>
      <c r="G23" s="27">
        <v>0</v>
      </c>
      <c r="H23" s="30"/>
      <c r="I23" s="29" t="e">
        <f>+SUM(I8:I21)</f>
        <v>#REF!</v>
      </c>
      <c r="J23" s="56"/>
    </row>
    <row r="24" spans="1:10" ht="15.75" thickTop="1">
      <c r="A24" s="56"/>
      <c r="B24" s="23"/>
      <c r="C24" s="24"/>
      <c r="D24" s="16" t="s">
        <v>120</v>
      </c>
      <c r="F24" s="27"/>
      <c r="G24" s="27"/>
      <c r="H24" s="27"/>
      <c r="I24" s="28"/>
      <c r="J24" s="56"/>
    </row>
    <row r="25" spans="1:10" ht="15">
      <c r="A25" s="56"/>
      <c r="B25" s="23"/>
      <c r="C25" s="24"/>
      <c r="D25" s="16"/>
      <c r="F25" s="23"/>
      <c r="G25" s="27"/>
      <c r="H25" s="27"/>
      <c r="I25" s="28"/>
      <c r="J25" s="56"/>
    </row>
    <row r="26" spans="1:10" ht="16.5" thickBot="1">
      <c r="A26" s="56"/>
      <c r="B26" s="23"/>
      <c r="C26" s="24"/>
      <c r="D26" s="68" t="s">
        <v>4</v>
      </c>
      <c r="F26" s="29">
        <f>SUM(F10:F24)</f>
        <v>1996948.0599999991</v>
      </c>
      <c r="G26" s="29">
        <f>SUM(G10:G24)</f>
        <v>3651541.75</v>
      </c>
      <c r="H26" s="27"/>
      <c r="I26" s="28"/>
      <c r="J26" s="56"/>
    </row>
    <row r="27" spans="1:10" ht="15.75" thickTop="1">
      <c r="A27" s="56"/>
      <c r="B27" s="23"/>
      <c r="C27" s="24"/>
      <c r="D27" s="66"/>
      <c r="F27" s="23"/>
      <c r="G27" s="27"/>
      <c r="H27" s="27"/>
      <c r="I27" s="28"/>
      <c r="J27" s="56"/>
    </row>
    <row r="28" spans="1:10" ht="15.75">
      <c r="A28" s="69"/>
      <c r="B28" s="63" t="s">
        <v>26</v>
      </c>
      <c r="C28" s="64"/>
      <c r="D28" s="65" t="s">
        <v>5</v>
      </c>
      <c r="F28" s="23"/>
      <c r="G28" s="27"/>
      <c r="H28" s="27"/>
      <c r="I28" s="28"/>
      <c r="J28" s="56"/>
    </row>
    <row r="29" spans="1:10" ht="15">
      <c r="A29" s="56"/>
      <c r="B29" s="23"/>
      <c r="C29" s="24"/>
      <c r="D29" s="66"/>
      <c r="F29" s="23"/>
      <c r="G29" s="27"/>
      <c r="H29" s="27"/>
      <c r="I29" s="28" t="e">
        <f>+#REF!</f>
        <v>#REF!</v>
      </c>
      <c r="J29" s="56"/>
    </row>
    <row r="30" spans="1:10" ht="15.75">
      <c r="A30" s="56"/>
      <c r="B30" s="23" t="s">
        <v>2</v>
      </c>
      <c r="C30" s="64"/>
      <c r="D30" s="65" t="s">
        <v>5</v>
      </c>
      <c r="E30" s="88"/>
      <c r="F30" s="23"/>
      <c r="G30" s="27"/>
      <c r="H30" s="27"/>
      <c r="I30" s="27">
        <v>0</v>
      </c>
      <c r="J30" s="56"/>
    </row>
    <row r="31" spans="1:10">
      <c r="A31" s="70"/>
      <c r="B31" s="67" t="s">
        <v>123</v>
      </c>
      <c r="C31" s="16"/>
      <c r="D31" s="16" t="s">
        <v>124</v>
      </c>
      <c r="E31" s="88">
        <v>5</v>
      </c>
      <c r="F31" s="14">
        <f>fa!G19</f>
        <v>153818</v>
      </c>
      <c r="G31" s="14">
        <v>130218</v>
      </c>
    </row>
    <row r="32" spans="1:10">
      <c r="A32" s="70"/>
      <c r="C32" s="16"/>
      <c r="D32" s="16" t="s">
        <v>121</v>
      </c>
      <c r="E32" s="89"/>
      <c r="F32" s="92">
        <f>fa!K19</f>
        <v>71790</v>
      </c>
      <c r="G32" s="92">
        <v>30237</v>
      </c>
    </row>
    <row r="33" spans="1:10">
      <c r="A33" s="70"/>
      <c r="C33" s="16"/>
      <c r="D33" s="16" t="s">
        <v>122</v>
      </c>
      <c r="E33" s="89"/>
      <c r="F33" s="35">
        <f>F31-F32</f>
        <v>82028</v>
      </c>
      <c r="G33" s="35">
        <f>G31-G32</f>
        <v>99981</v>
      </c>
    </row>
    <row r="34" spans="1:10" ht="15">
      <c r="A34" s="56"/>
      <c r="B34" s="23"/>
      <c r="C34" s="24"/>
      <c r="D34" s="16" t="s">
        <v>125</v>
      </c>
      <c r="E34" s="88"/>
      <c r="F34" s="27"/>
      <c r="G34" s="27"/>
      <c r="H34" s="27"/>
      <c r="I34" s="27">
        <v>0</v>
      </c>
      <c r="J34" s="56"/>
    </row>
    <row r="35" spans="1:10" ht="15">
      <c r="A35" s="56"/>
      <c r="B35" s="23"/>
      <c r="C35" s="24"/>
      <c r="D35" s="16" t="s">
        <v>126</v>
      </c>
      <c r="E35" s="88">
        <v>6</v>
      </c>
      <c r="F35" s="12">
        <f>'BS Sch'!C56</f>
        <v>463939</v>
      </c>
      <c r="G35" s="12">
        <f>'BS Sch'!D56</f>
        <v>255318</v>
      </c>
      <c r="H35" s="27"/>
      <c r="I35" s="27">
        <v>0</v>
      </c>
      <c r="J35" s="56"/>
    </row>
    <row r="36" spans="1:10" ht="15">
      <c r="A36" s="56"/>
      <c r="B36" s="23"/>
      <c r="C36" s="24"/>
      <c r="D36" s="16" t="s">
        <v>127</v>
      </c>
      <c r="F36" s="23"/>
      <c r="G36" s="23"/>
      <c r="H36" s="27"/>
      <c r="I36" s="27">
        <v>0</v>
      </c>
      <c r="J36" s="56"/>
    </row>
    <row r="37" spans="1:10" ht="15">
      <c r="A37" s="56"/>
      <c r="B37" s="23"/>
      <c r="C37" s="24"/>
      <c r="D37" s="16" t="s">
        <v>128</v>
      </c>
      <c r="E37" s="86">
        <v>7</v>
      </c>
      <c r="F37" s="12">
        <f>'BS Sch'!C65</f>
        <v>1028536</v>
      </c>
      <c r="G37" s="12">
        <f>'BS Sch'!D65</f>
        <v>1562110</v>
      </c>
      <c r="H37" s="27"/>
      <c r="I37" s="28"/>
      <c r="J37" s="56"/>
    </row>
    <row r="38" spans="1:10" ht="15">
      <c r="A38" s="56"/>
      <c r="B38" s="23"/>
      <c r="C38" s="24"/>
      <c r="D38" s="16" t="s">
        <v>129</v>
      </c>
      <c r="E38" s="86">
        <v>8</v>
      </c>
      <c r="F38" s="12">
        <f>'BS Sch'!C75</f>
        <v>88981.06</v>
      </c>
      <c r="G38" s="12">
        <f>'BS Sch'!D75</f>
        <v>1168900.75</v>
      </c>
      <c r="H38" s="27"/>
      <c r="I38" s="27" t="e">
        <f>'BS Sch'!#REF!</f>
        <v>#REF!</v>
      </c>
      <c r="J38" s="56"/>
    </row>
    <row r="39" spans="1:10" ht="15">
      <c r="A39" s="56"/>
      <c r="B39" s="23"/>
      <c r="C39" s="24"/>
      <c r="D39" s="16" t="s">
        <v>130</v>
      </c>
      <c r="E39" s="86">
        <v>9</v>
      </c>
      <c r="F39" s="12">
        <f>'BS Sch'!C81</f>
        <v>333464</v>
      </c>
      <c r="G39" s="12">
        <f>'BS Sch'!D81</f>
        <v>565232</v>
      </c>
      <c r="H39" s="27"/>
      <c r="I39" s="27">
        <v>0</v>
      </c>
      <c r="J39" s="56"/>
    </row>
    <row r="40" spans="1:10" ht="15">
      <c r="A40" s="56"/>
      <c r="B40" s="24"/>
      <c r="C40" s="24"/>
      <c r="D40" s="71"/>
      <c r="F40" s="23"/>
      <c r="G40" s="27"/>
      <c r="H40" s="24"/>
      <c r="I40" s="24"/>
      <c r="J40" s="56"/>
    </row>
    <row r="41" spans="1:10" ht="16.5" thickBot="1">
      <c r="A41" s="56"/>
      <c r="B41" s="24"/>
      <c r="C41" s="24"/>
      <c r="D41" s="72" t="s">
        <v>4</v>
      </c>
      <c r="F41" s="29">
        <f>SUM(F33:F40)</f>
        <v>1996948.06</v>
      </c>
      <c r="G41" s="29">
        <f>SUM(G33:G40)</f>
        <v>3651541.75</v>
      </c>
      <c r="H41" s="23"/>
      <c r="J41" s="56"/>
    </row>
    <row r="42" spans="1:10" ht="15.75" thickTop="1">
      <c r="A42" s="56"/>
      <c r="B42" s="24"/>
      <c r="C42" s="24"/>
      <c r="D42" s="71"/>
      <c r="F42" s="23"/>
      <c r="G42" s="24"/>
      <c r="H42" s="24"/>
      <c r="I42" s="24"/>
      <c r="J42" s="56">
        <f>+G41-G26</f>
        <v>0</v>
      </c>
    </row>
    <row r="43" spans="1:10" ht="15">
      <c r="A43" s="56"/>
      <c r="B43" s="312" t="s">
        <v>30</v>
      </c>
      <c r="C43" s="312"/>
      <c r="D43" s="312"/>
      <c r="G43" s="23"/>
      <c r="H43" s="24"/>
      <c r="I43" s="24"/>
      <c r="J43" s="56">
        <f>+F41-F26</f>
        <v>0</v>
      </c>
    </row>
    <row r="44" spans="1:10" ht="15.75">
      <c r="A44" s="56"/>
      <c r="B44" s="304" t="s">
        <v>29</v>
      </c>
      <c r="C44" s="304"/>
      <c r="D44" s="304"/>
      <c r="F44" s="24" t="s">
        <v>28</v>
      </c>
      <c r="G44" s="24"/>
      <c r="H44" s="24"/>
      <c r="I44" s="24"/>
      <c r="J44" s="56"/>
    </row>
    <row r="45" spans="1:10" ht="15">
      <c r="A45" s="56"/>
      <c r="B45" s="148"/>
      <c r="C45" s="24"/>
      <c r="D45" s="66" t="s">
        <v>404</v>
      </c>
      <c r="F45" s="24"/>
      <c r="G45" s="24"/>
      <c r="H45" s="24"/>
      <c r="I45" s="24"/>
      <c r="J45" s="56"/>
    </row>
    <row r="46" spans="1:10" ht="15">
      <c r="A46" s="56"/>
      <c r="B46" s="148"/>
      <c r="C46" s="24"/>
      <c r="D46" s="297" t="s">
        <v>31</v>
      </c>
      <c r="F46" s="23"/>
      <c r="G46" s="24"/>
      <c r="H46" s="24"/>
      <c r="I46" s="24"/>
      <c r="J46" s="56"/>
    </row>
    <row r="47" spans="1:10" ht="15.75">
      <c r="A47" s="56"/>
      <c r="B47" s="148"/>
      <c r="C47" s="24"/>
      <c r="D47" s="297"/>
      <c r="F47" s="23"/>
      <c r="G47" s="24"/>
      <c r="H47" s="73"/>
      <c r="I47" s="72"/>
      <c r="J47" s="56"/>
    </row>
    <row r="48" spans="1:10" ht="15">
      <c r="A48" s="56"/>
      <c r="B48" s="24"/>
      <c r="C48" s="24"/>
      <c r="D48" s="66"/>
      <c r="F48" s="74" t="s">
        <v>158</v>
      </c>
      <c r="G48" s="74" t="s">
        <v>158</v>
      </c>
      <c r="H48" s="37"/>
      <c r="I48" s="37" t="s">
        <v>86</v>
      </c>
      <c r="J48" s="56"/>
    </row>
    <row r="49" spans="1:10" ht="15">
      <c r="A49" s="56"/>
      <c r="B49" s="71"/>
      <c r="C49" s="71"/>
      <c r="D49" s="66" t="s">
        <v>396</v>
      </c>
      <c r="E49" s="90"/>
      <c r="F49" s="77"/>
      <c r="G49" s="77"/>
      <c r="I49" s="44" t="s">
        <v>96</v>
      </c>
      <c r="J49" s="56"/>
    </row>
    <row r="50" spans="1:10" ht="15">
      <c r="A50" s="56"/>
      <c r="B50" s="71"/>
      <c r="C50" s="71"/>
      <c r="D50" s="66" t="s">
        <v>405</v>
      </c>
      <c r="E50" s="91"/>
      <c r="H50" s="79"/>
      <c r="I50" s="79"/>
      <c r="J50" s="56"/>
    </row>
    <row r="51" spans="1:10" ht="15">
      <c r="A51" s="56"/>
      <c r="B51" s="148"/>
      <c r="C51" s="148"/>
      <c r="D51" s="71" t="s">
        <v>406</v>
      </c>
      <c r="G51" s="44"/>
      <c r="H51" s="71"/>
      <c r="I51" s="71"/>
      <c r="J51" s="56"/>
    </row>
    <row r="52" spans="1:10" ht="15">
      <c r="A52" s="56"/>
      <c r="B52" s="148"/>
      <c r="C52" s="148"/>
      <c r="D52" s="71" t="s">
        <v>407</v>
      </c>
      <c r="G52" s="44"/>
      <c r="H52" s="71"/>
      <c r="I52" s="71"/>
      <c r="J52" s="56"/>
    </row>
    <row r="53" spans="1:10" ht="15">
      <c r="A53" s="56"/>
      <c r="B53" s="148"/>
      <c r="C53" s="148"/>
      <c r="D53" s="71"/>
      <c r="G53" s="44"/>
      <c r="H53" s="71"/>
      <c r="I53" s="71"/>
      <c r="J53" s="56"/>
    </row>
    <row r="54" spans="1:10" ht="15">
      <c r="A54" s="56"/>
      <c r="D54" s="71" t="s">
        <v>102</v>
      </c>
      <c r="G54" s="44"/>
      <c r="H54" s="71"/>
      <c r="I54" s="71"/>
      <c r="J54" s="56"/>
    </row>
    <row r="55" spans="1:10" ht="15">
      <c r="A55" s="56"/>
      <c r="C55" s="71"/>
      <c r="D55" s="71" t="s">
        <v>103</v>
      </c>
      <c r="E55" s="85"/>
      <c r="F55" s="71"/>
      <c r="G55" s="79"/>
      <c r="H55" s="71"/>
      <c r="I55" s="71"/>
      <c r="J55" s="56"/>
    </row>
    <row r="56" spans="1:10" ht="15">
      <c r="A56" s="56"/>
      <c r="B56" s="71"/>
      <c r="C56" s="71"/>
      <c r="E56" s="85"/>
      <c r="F56" s="71"/>
      <c r="G56" s="71"/>
      <c r="H56" s="71"/>
      <c r="I56" s="71"/>
      <c r="J56" s="56"/>
    </row>
    <row r="57" spans="1:10" ht="15.75">
      <c r="A57" s="56"/>
      <c r="B57" s="71"/>
      <c r="C57" s="71"/>
      <c r="E57" s="85"/>
      <c r="F57" s="71"/>
      <c r="G57" s="71"/>
      <c r="H57" s="75"/>
      <c r="I57" s="25"/>
      <c r="J57" s="56"/>
    </row>
    <row r="58" spans="1:10" ht="15">
      <c r="A58" s="56"/>
      <c r="B58" s="71"/>
      <c r="C58" s="71"/>
      <c r="D58" s="71"/>
      <c r="E58" s="85"/>
      <c r="F58" s="71"/>
      <c r="G58" s="71"/>
      <c r="H58" s="80"/>
      <c r="I58" s="26"/>
      <c r="J58" s="56"/>
    </row>
    <row r="59" spans="1:10" ht="15.75">
      <c r="A59" s="56"/>
      <c r="B59" s="76"/>
      <c r="C59" s="71"/>
      <c r="D59" s="71"/>
      <c r="E59" s="305"/>
      <c r="F59" s="305"/>
      <c r="G59" s="305"/>
      <c r="H59" s="81"/>
      <c r="I59" s="81"/>
    </row>
    <row r="60" spans="1:10" ht="15">
      <c r="A60" s="56"/>
      <c r="B60" s="82"/>
      <c r="C60" s="71"/>
      <c r="D60" s="71"/>
      <c r="E60" s="307"/>
      <c r="F60" s="307"/>
      <c r="G60" s="307"/>
    </row>
    <row r="61" spans="1:10">
      <c r="B61" s="83"/>
      <c r="C61" s="81"/>
      <c r="D61" s="81"/>
      <c r="E61" s="85"/>
      <c r="F61" s="81"/>
      <c r="G61" s="81"/>
    </row>
  </sheetData>
  <mergeCells count="10">
    <mergeCell ref="E60:G60"/>
    <mergeCell ref="D5:D6"/>
    <mergeCell ref="E5:E6"/>
    <mergeCell ref="B43:D43"/>
    <mergeCell ref="B44:D44"/>
    <mergeCell ref="A3:H3"/>
    <mergeCell ref="B2:I2"/>
    <mergeCell ref="B1:I1"/>
    <mergeCell ref="E59:G59"/>
    <mergeCell ref="B4:H4"/>
  </mergeCells>
  <phoneticPr fontId="7" type="noConversion"/>
  <pageMargins left="0.25" right="0.25" top="0.2" bottom="0.18" header="0.3" footer="0.3"/>
  <pageSetup scale="94" orientation="portrait" horizontalDpi="4294967293" r:id="rId1"/>
  <headerFooter alignWithMargins="0"/>
  <colBreaks count="1" manualBreakCount="1">
    <brk id="8" max="63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I66"/>
  <sheetViews>
    <sheetView view="pageBreakPreview" topLeftCell="B49" zoomScaleSheetLayoutView="100" workbookViewId="0">
      <selection activeCell="N10" sqref="N10"/>
    </sheetView>
  </sheetViews>
  <sheetFormatPr defaultRowHeight="12.75"/>
  <cols>
    <col min="1" max="1" width="3.85546875" style="14" hidden="1" customWidth="1"/>
    <col min="2" max="2" width="3.85546875" style="44" customWidth="1"/>
    <col min="3" max="3" width="42.28515625" style="14" customWidth="1"/>
    <col min="4" max="4" width="6.28515625" style="105" customWidth="1"/>
    <col min="5" max="5" width="17.42578125" style="14" customWidth="1"/>
    <col min="6" max="6" width="15.85546875" style="14" bestFit="1" customWidth="1"/>
    <col min="7" max="7" width="7.7109375" style="14" customWidth="1"/>
    <col min="8" max="8" width="15.42578125" style="14" hidden="1" customWidth="1"/>
    <col min="9" max="9" width="10.28515625" style="14" bestFit="1" customWidth="1"/>
    <col min="10" max="14" width="9.140625" style="14"/>
    <col min="15" max="15" width="10.28515625" style="14" bestFit="1" customWidth="1"/>
    <col min="16" max="16" width="9.140625" style="14"/>
    <col min="17" max="17" width="10.28515625" style="14" bestFit="1" customWidth="1"/>
    <col min="18" max="16384" width="9.140625" style="14"/>
  </cols>
  <sheetData>
    <row r="1" spans="1:9">
      <c r="B1" s="303" t="str">
        <f>BS!B1</f>
        <v>M/S XYZ</v>
      </c>
      <c r="C1" s="303"/>
      <c r="D1" s="303"/>
      <c r="E1" s="303"/>
      <c r="F1" s="303"/>
      <c r="G1" s="303"/>
      <c r="H1" s="303"/>
      <c r="I1" s="93"/>
    </row>
    <row r="2" spans="1:9" ht="15.75">
      <c r="A2" s="319" t="str">
        <f>BS!A3</f>
        <v>Registered office: GAUTAM BUDH NAGAR,UP 20100</v>
      </c>
      <c r="B2" s="319"/>
      <c r="C2" s="319"/>
      <c r="D2" s="319"/>
      <c r="E2" s="319"/>
      <c r="F2" s="319"/>
      <c r="G2" s="319"/>
      <c r="H2" s="25"/>
      <c r="I2" s="56"/>
    </row>
    <row r="3" spans="1:9" ht="15">
      <c r="A3" s="303" t="s">
        <v>383</v>
      </c>
      <c r="B3" s="303"/>
      <c r="C3" s="303"/>
      <c r="D3" s="303"/>
      <c r="E3" s="303"/>
      <c r="F3" s="303"/>
      <c r="G3" s="303"/>
      <c r="H3" s="94"/>
      <c r="I3" s="56"/>
    </row>
    <row r="4" spans="1:9">
      <c r="B4" s="17"/>
      <c r="C4" s="17"/>
      <c r="D4" s="104"/>
      <c r="E4" s="17"/>
      <c r="F4" s="17"/>
      <c r="G4" s="17"/>
      <c r="H4" s="17"/>
      <c r="I4" s="93"/>
    </row>
    <row r="5" spans="1:9">
      <c r="F5" s="314" t="s">
        <v>93</v>
      </c>
      <c r="G5" s="314"/>
      <c r="H5" s="314"/>
    </row>
    <row r="6" spans="1:9">
      <c r="B6" s="95"/>
      <c r="C6" s="317" t="s">
        <v>0</v>
      </c>
      <c r="D6" s="310" t="s">
        <v>1</v>
      </c>
      <c r="E6" s="20" t="s">
        <v>32</v>
      </c>
      <c r="F6" s="20" t="s">
        <v>32</v>
      </c>
      <c r="G6" s="20"/>
      <c r="H6" s="20" t="s">
        <v>32</v>
      </c>
    </row>
    <row r="7" spans="1:9">
      <c r="B7" s="96"/>
      <c r="C7" s="318"/>
      <c r="D7" s="315"/>
      <c r="E7" s="97" t="s">
        <v>382</v>
      </c>
      <c r="F7" s="97" t="s">
        <v>190</v>
      </c>
      <c r="G7" s="97"/>
      <c r="H7" s="97" t="s">
        <v>95</v>
      </c>
    </row>
    <row r="8" spans="1:9">
      <c r="D8" s="84"/>
      <c r="E8" s="44"/>
    </row>
    <row r="9" spans="1:9">
      <c r="B9" s="98" t="s">
        <v>25</v>
      </c>
      <c r="C9" s="15" t="s">
        <v>33</v>
      </c>
      <c r="D9" s="84">
        <v>10</v>
      </c>
      <c r="E9" s="19">
        <f>'P&amp;L Sch'!C13</f>
        <v>12000093</v>
      </c>
      <c r="F9" s="19">
        <f>'P&amp;L Sch'!D13</f>
        <v>24537506</v>
      </c>
      <c r="G9" s="19"/>
      <c r="H9" s="19">
        <f>'P&amp;L Sch'!F13</f>
        <v>0</v>
      </c>
    </row>
    <row r="10" spans="1:9">
      <c r="B10" s="98" t="s">
        <v>26</v>
      </c>
      <c r="C10" s="15" t="s">
        <v>34</v>
      </c>
      <c r="D10" s="84">
        <v>11</v>
      </c>
      <c r="E10" s="19">
        <f>+'P&amp;L Sch'!C26</f>
        <v>41974</v>
      </c>
      <c r="F10" s="19">
        <f>+'P&amp;L Sch'!D26</f>
        <v>0</v>
      </c>
      <c r="G10" s="19"/>
      <c r="H10" s="19">
        <v>0</v>
      </c>
    </row>
    <row r="11" spans="1:9">
      <c r="D11" s="84"/>
      <c r="E11" s="19"/>
      <c r="F11" s="19"/>
      <c r="G11" s="19"/>
      <c r="H11" s="19"/>
    </row>
    <row r="12" spans="1:9">
      <c r="B12" s="98"/>
      <c r="C12" s="15" t="s">
        <v>35</v>
      </c>
      <c r="D12" s="84"/>
      <c r="E12" s="22">
        <f>+E9+E10</f>
        <v>12042067</v>
      </c>
      <c r="F12" s="22">
        <f>+F9+F10</f>
        <v>24537506</v>
      </c>
      <c r="G12" s="19"/>
      <c r="H12" s="22">
        <f>+H9+H10</f>
        <v>0</v>
      </c>
    </row>
    <row r="13" spans="1:9">
      <c r="C13" s="15"/>
      <c r="D13" s="84"/>
      <c r="E13" s="44"/>
      <c r="F13" s="19"/>
      <c r="G13" s="19"/>
      <c r="H13" s="19"/>
    </row>
    <row r="14" spans="1:9" ht="13.5">
      <c r="B14" s="98" t="s">
        <v>134</v>
      </c>
      <c r="C14" s="99" t="s">
        <v>131</v>
      </c>
      <c r="D14" s="84"/>
      <c r="E14" s="44"/>
      <c r="F14" s="19"/>
      <c r="G14" s="19"/>
      <c r="H14" s="19"/>
    </row>
    <row r="15" spans="1:9">
      <c r="C15" s="16" t="s">
        <v>132</v>
      </c>
      <c r="E15" s="14">
        <v>0</v>
      </c>
      <c r="F15" s="14">
        <v>0</v>
      </c>
    </row>
    <row r="16" spans="1:9">
      <c r="C16" s="100" t="s">
        <v>145</v>
      </c>
      <c r="D16" s="84"/>
      <c r="E16" s="100">
        <v>10320494</v>
      </c>
      <c r="F16" s="100">
        <v>22086024</v>
      </c>
      <c r="G16" s="19"/>
      <c r="H16" s="19">
        <v>0</v>
      </c>
    </row>
    <row r="17" spans="1:8">
      <c r="C17" s="16" t="s">
        <v>133</v>
      </c>
      <c r="D17" s="84">
        <v>5</v>
      </c>
      <c r="E17" s="19">
        <f>fa!I19</f>
        <v>41553</v>
      </c>
      <c r="F17" s="19">
        <v>27666</v>
      </c>
      <c r="G17" s="19"/>
      <c r="H17" s="19">
        <f>'P&amp;L Sch'!F59</f>
        <v>0</v>
      </c>
    </row>
    <row r="18" spans="1:8" ht="25.5">
      <c r="C18" s="101" t="s">
        <v>146</v>
      </c>
      <c r="D18" s="111">
        <v>12</v>
      </c>
      <c r="E18" s="45">
        <f>'P&amp;L Sch'!C59</f>
        <v>2821981.71</v>
      </c>
      <c r="F18" s="45">
        <f>'P&amp;L Sch'!D59</f>
        <v>2319552.44</v>
      </c>
      <c r="G18" s="19"/>
      <c r="H18" s="19">
        <f>+'P&amp;L Sch'!F69</f>
        <v>0</v>
      </c>
    </row>
    <row r="19" spans="1:8">
      <c r="C19" s="15"/>
      <c r="D19" s="84"/>
      <c r="E19" s="44"/>
      <c r="F19" s="19"/>
      <c r="G19" s="19"/>
      <c r="H19" s="19"/>
    </row>
    <row r="20" spans="1:8">
      <c r="C20" s="15" t="s">
        <v>8</v>
      </c>
      <c r="D20" s="84"/>
      <c r="E20" s="22">
        <f>SUM(E13:E19)</f>
        <v>13184028.710000001</v>
      </c>
      <c r="F20" s="22">
        <f>+SUM(F16:F18)</f>
        <v>24433242.440000001</v>
      </c>
      <c r="G20" s="19"/>
      <c r="H20" s="22">
        <f>+SUM(H16:H18)</f>
        <v>0</v>
      </c>
    </row>
    <row r="21" spans="1:8">
      <c r="C21" s="15"/>
      <c r="D21" s="84"/>
      <c r="E21" s="19"/>
      <c r="F21" s="19"/>
      <c r="G21" s="19"/>
      <c r="H21" s="19"/>
    </row>
    <row r="22" spans="1:8">
      <c r="B22" s="98" t="s">
        <v>37</v>
      </c>
      <c r="C22" s="15" t="s">
        <v>38</v>
      </c>
      <c r="E22" s="19">
        <f>+E12-E20</f>
        <v>-1141961.7100000009</v>
      </c>
      <c r="F22" s="19">
        <f>+F12-F20</f>
        <v>104263.55999999866</v>
      </c>
      <c r="G22" s="19"/>
      <c r="H22" s="19">
        <f>+H12-H20</f>
        <v>0</v>
      </c>
    </row>
    <row r="23" spans="1:8">
      <c r="A23" s="39"/>
      <c r="B23" s="36"/>
      <c r="C23" s="15" t="s">
        <v>39</v>
      </c>
      <c r="E23" s="19"/>
      <c r="F23" s="19"/>
      <c r="G23" s="19"/>
      <c r="H23" s="19"/>
    </row>
    <row r="24" spans="1:8">
      <c r="C24" s="15"/>
      <c r="E24" s="19"/>
      <c r="F24" s="19"/>
      <c r="G24" s="19"/>
      <c r="H24" s="19"/>
    </row>
    <row r="25" spans="1:8">
      <c r="B25" s="98" t="s">
        <v>42</v>
      </c>
      <c r="C25" s="15" t="s">
        <v>40</v>
      </c>
      <c r="E25" s="19">
        <v>0</v>
      </c>
      <c r="F25" s="19">
        <v>0</v>
      </c>
      <c r="G25" s="19"/>
      <c r="H25" s="19">
        <v>0</v>
      </c>
    </row>
    <row r="26" spans="1:8">
      <c r="B26" s="98"/>
      <c r="C26" s="15"/>
      <c r="E26" s="19"/>
      <c r="F26" s="19"/>
      <c r="G26" s="19"/>
      <c r="H26" s="19"/>
    </row>
    <row r="27" spans="1:8">
      <c r="B27" s="98" t="s">
        <v>43</v>
      </c>
      <c r="C27" s="15" t="s">
        <v>41</v>
      </c>
      <c r="E27" s="19">
        <f>+E22+E25</f>
        <v>-1141961.7100000009</v>
      </c>
      <c r="F27" s="19">
        <f>+F22+F25</f>
        <v>104263.55999999866</v>
      </c>
      <c r="G27" s="19"/>
      <c r="H27" s="19">
        <f>+H22-H25</f>
        <v>0</v>
      </c>
    </row>
    <row r="28" spans="1:8">
      <c r="C28" s="15"/>
      <c r="E28" s="19"/>
      <c r="F28" s="19"/>
      <c r="G28" s="19"/>
      <c r="H28" s="19"/>
    </row>
    <row r="29" spans="1:8">
      <c r="B29" s="98" t="s">
        <v>44</v>
      </c>
      <c r="C29" s="15" t="s">
        <v>47</v>
      </c>
      <c r="E29" s="19">
        <v>0</v>
      </c>
      <c r="F29" s="19">
        <v>0</v>
      </c>
      <c r="G29" s="19"/>
      <c r="H29" s="19">
        <v>0</v>
      </c>
    </row>
    <row r="30" spans="1:8">
      <c r="B30" s="98"/>
      <c r="C30" s="15"/>
      <c r="E30" s="19"/>
      <c r="F30" s="19"/>
      <c r="G30" s="19"/>
      <c r="H30" s="19"/>
    </row>
    <row r="31" spans="1:8">
      <c r="B31" s="98" t="s">
        <v>45</v>
      </c>
      <c r="C31" s="15" t="s">
        <v>48</v>
      </c>
      <c r="E31" s="19">
        <f>+E27-E29</f>
        <v>-1141961.7100000009</v>
      </c>
      <c r="F31" s="19">
        <f>+F27-F29</f>
        <v>104263.55999999866</v>
      </c>
      <c r="G31" s="19"/>
      <c r="H31" s="19">
        <f>+H27-H29</f>
        <v>0</v>
      </c>
    </row>
    <row r="32" spans="1:8">
      <c r="B32" s="98"/>
      <c r="E32" s="19"/>
      <c r="F32" s="19"/>
      <c r="G32" s="19"/>
      <c r="H32" s="19"/>
    </row>
    <row r="33" spans="2:8">
      <c r="B33" s="98" t="s">
        <v>46</v>
      </c>
      <c r="C33" s="15" t="s">
        <v>49</v>
      </c>
      <c r="E33" s="19"/>
      <c r="F33" s="19"/>
      <c r="G33" s="19"/>
      <c r="H33" s="19"/>
    </row>
    <row r="34" spans="2:8">
      <c r="C34" s="15" t="s">
        <v>50</v>
      </c>
      <c r="E34" s="19">
        <v>0</v>
      </c>
      <c r="F34" s="19">
        <v>0</v>
      </c>
      <c r="G34" s="19"/>
      <c r="H34" s="19">
        <v>0</v>
      </c>
    </row>
    <row r="35" spans="2:8">
      <c r="C35" s="15" t="s">
        <v>51</v>
      </c>
      <c r="E35" s="19">
        <v>0</v>
      </c>
      <c r="F35" s="19">
        <v>0</v>
      </c>
      <c r="G35" s="19"/>
      <c r="H35" s="19">
        <v>0</v>
      </c>
    </row>
    <row r="36" spans="2:8">
      <c r="E36" s="19"/>
      <c r="F36" s="19"/>
      <c r="G36" s="19"/>
      <c r="H36" s="19"/>
    </row>
    <row r="37" spans="2:8">
      <c r="B37" s="98" t="s">
        <v>42</v>
      </c>
      <c r="C37" s="15" t="s">
        <v>57</v>
      </c>
      <c r="E37" s="19">
        <f>+E31-E34-E35</f>
        <v>-1141961.7100000009</v>
      </c>
      <c r="F37" s="19">
        <f>+F31-F34-F35</f>
        <v>104263.55999999866</v>
      </c>
      <c r="G37" s="19"/>
      <c r="H37" s="19">
        <f>+H31-H34-H35</f>
        <v>0</v>
      </c>
    </row>
    <row r="38" spans="2:8">
      <c r="B38" s="98"/>
      <c r="C38" s="15" t="s">
        <v>104</v>
      </c>
      <c r="E38" s="19"/>
      <c r="F38" s="19"/>
      <c r="G38" s="19"/>
      <c r="H38" s="19"/>
    </row>
    <row r="39" spans="2:8">
      <c r="B39" s="98"/>
      <c r="C39" s="15"/>
      <c r="E39" s="19"/>
      <c r="F39" s="19"/>
      <c r="G39" s="19"/>
      <c r="H39" s="19"/>
    </row>
    <row r="40" spans="2:8">
      <c r="B40" s="98" t="s">
        <v>52</v>
      </c>
      <c r="C40" s="15" t="s">
        <v>53</v>
      </c>
      <c r="E40" s="19">
        <v>0</v>
      </c>
      <c r="F40" s="19">
        <v>0</v>
      </c>
      <c r="G40" s="19"/>
      <c r="H40" s="19">
        <v>0</v>
      </c>
    </row>
    <row r="41" spans="2:8">
      <c r="E41" s="19"/>
      <c r="F41" s="19"/>
      <c r="G41" s="19"/>
      <c r="H41" s="19"/>
    </row>
    <row r="42" spans="2:8">
      <c r="B42" s="98" t="s">
        <v>54</v>
      </c>
      <c r="C42" s="15" t="s">
        <v>56</v>
      </c>
      <c r="E42" s="19">
        <v>0</v>
      </c>
      <c r="F42" s="19">
        <v>0</v>
      </c>
      <c r="G42" s="19"/>
      <c r="H42" s="19">
        <v>0</v>
      </c>
    </row>
    <row r="43" spans="2:8">
      <c r="B43" s="98"/>
      <c r="E43" s="19"/>
      <c r="F43" s="19"/>
      <c r="G43" s="19"/>
      <c r="H43" s="19"/>
    </row>
    <row r="44" spans="2:8">
      <c r="B44" s="98" t="s">
        <v>55</v>
      </c>
      <c r="C44" s="15" t="s">
        <v>58</v>
      </c>
      <c r="E44" s="19">
        <f>+E40-E42</f>
        <v>0</v>
      </c>
      <c r="F44" s="19">
        <f>+F40-F42</f>
        <v>0</v>
      </c>
      <c r="G44" s="19"/>
      <c r="H44" s="19">
        <f>+H40-H42</f>
        <v>0</v>
      </c>
    </row>
    <row r="45" spans="2:8">
      <c r="B45" s="98"/>
      <c r="C45" s="15" t="s">
        <v>59</v>
      </c>
      <c r="E45" s="19"/>
      <c r="F45" s="19"/>
      <c r="G45" s="19"/>
      <c r="H45" s="19"/>
    </row>
    <row r="46" spans="2:8">
      <c r="B46" s="98"/>
      <c r="C46" s="15"/>
      <c r="E46" s="19"/>
      <c r="F46" s="19"/>
      <c r="G46" s="19"/>
      <c r="H46" s="19"/>
    </row>
    <row r="47" spans="2:8">
      <c r="B47" s="98" t="s">
        <v>105</v>
      </c>
      <c r="C47" s="15" t="s">
        <v>60</v>
      </c>
      <c r="E47" s="19">
        <f>+E37+E44</f>
        <v>-1141961.7100000009</v>
      </c>
      <c r="F47" s="19">
        <f>+F37+F44</f>
        <v>104263.55999999866</v>
      </c>
      <c r="G47" s="19"/>
      <c r="H47" s="19">
        <f>+H37+H44</f>
        <v>0</v>
      </c>
    </row>
    <row r="48" spans="2:8">
      <c r="C48" s="15"/>
      <c r="E48" s="44"/>
      <c r="F48" s="44"/>
    </row>
    <row r="50" spans="1:9">
      <c r="B50" s="102" t="s">
        <v>27</v>
      </c>
      <c r="C50" s="103"/>
      <c r="D50" s="106"/>
      <c r="E50" s="97"/>
      <c r="F50" s="103"/>
      <c r="G50" s="103"/>
      <c r="H50" s="103"/>
      <c r="I50" s="16"/>
    </row>
    <row r="51" spans="1:9">
      <c r="B51" s="14"/>
      <c r="D51" s="107"/>
      <c r="E51" s="38"/>
      <c r="F51" s="44"/>
    </row>
    <row r="52" spans="1:9" ht="15">
      <c r="A52" s="312" t="s">
        <v>30</v>
      </c>
      <c r="B52" s="312"/>
      <c r="C52" s="312"/>
      <c r="D52" s="107"/>
      <c r="E52" s="38"/>
      <c r="F52" s="19"/>
      <c r="G52" s="19"/>
      <c r="H52" s="19"/>
    </row>
    <row r="53" spans="1:9" ht="15.75">
      <c r="A53" s="304" t="s">
        <v>29</v>
      </c>
      <c r="B53" s="304"/>
      <c r="C53" s="304"/>
      <c r="D53" s="107"/>
      <c r="E53" s="38"/>
      <c r="F53" s="44"/>
    </row>
    <row r="54" spans="1:9" ht="15">
      <c r="A54" s="148"/>
      <c r="B54" s="24"/>
      <c r="C54" s="66" t="s">
        <v>404</v>
      </c>
      <c r="D54" s="107"/>
      <c r="E54" s="24" t="s">
        <v>28</v>
      </c>
      <c r="F54" s="24"/>
    </row>
    <row r="55" spans="1:9" ht="15">
      <c r="A55" s="148"/>
      <c r="B55" s="24"/>
      <c r="C55" s="297" t="s">
        <v>31</v>
      </c>
      <c r="D55" s="90"/>
      <c r="E55" s="24"/>
      <c r="F55" s="24"/>
      <c r="H55" s="78"/>
    </row>
    <row r="56" spans="1:9" ht="15">
      <c r="A56" s="148"/>
      <c r="B56" s="24"/>
      <c r="C56" s="297"/>
      <c r="D56" s="108"/>
      <c r="E56" s="23"/>
      <c r="F56" s="24"/>
      <c r="H56" s="78"/>
    </row>
    <row r="57" spans="1:9" ht="15">
      <c r="A57" s="24"/>
      <c r="B57" s="24"/>
      <c r="C57" s="66"/>
      <c r="D57" s="108"/>
      <c r="E57" s="23"/>
      <c r="F57" s="24"/>
      <c r="H57" s="78"/>
    </row>
    <row r="58" spans="1:9" ht="15">
      <c r="A58" s="71"/>
      <c r="B58" s="71"/>
      <c r="C58" s="66" t="s">
        <v>396</v>
      </c>
      <c r="D58" s="108"/>
      <c r="E58" s="74" t="s">
        <v>158</v>
      </c>
      <c r="F58" s="74" t="s">
        <v>158</v>
      </c>
      <c r="H58" s="78"/>
    </row>
    <row r="59" spans="1:9" ht="15">
      <c r="A59" s="71"/>
      <c r="B59" s="71"/>
      <c r="C59" s="66" t="s">
        <v>405</v>
      </c>
      <c r="D59" s="108"/>
      <c r="E59" s="77"/>
      <c r="F59" s="77"/>
      <c r="H59" s="78"/>
    </row>
    <row r="60" spans="1:9" ht="15">
      <c r="A60" s="148"/>
      <c r="B60" s="148"/>
      <c r="C60" s="71" t="s">
        <v>406</v>
      </c>
      <c r="D60" s="109"/>
      <c r="E60" s="77"/>
      <c r="F60" s="77"/>
      <c r="H60" s="79" t="s">
        <v>86</v>
      </c>
    </row>
    <row r="61" spans="1:9" ht="15">
      <c r="A61" s="148"/>
      <c r="B61" s="148"/>
      <c r="C61" s="71" t="s">
        <v>407</v>
      </c>
      <c r="D61" s="110"/>
      <c r="E61" s="44"/>
      <c r="F61" s="44"/>
      <c r="H61" s="81" t="s">
        <v>94</v>
      </c>
    </row>
    <row r="62" spans="1:9" ht="15">
      <c r="A62" s="148"/>
      <c r="B62" s="148"/>
      <c r="C62" s="71"/>
      <c r="D62" s="110"/>
      <c r="E62" s="18"/>
      <c r="F62" s="18"/>
      <c r="H62" s="81"/>
    </row>
    <row r="63" spans="1:9" ht="15">
      <c r="B63" s="14"/>
      <c r="C63" s="71" t="s">
        <v>102</v>
      </c>
      <c r="D63" s="110"/>
      <c r="E63" s="18"/>
      <c r="F63" s="18"/>
      <c r="H63" s="81"/>
    </row>
    <row r="64" spans="1:9" ht="15">
      <c r="B64" s="71"/>
      <c r="C64" s="71" t="s">
        <v>103</v>
      </c>
      <c r="D64" s="316"/>
      <c r="E64" s="316"/>
      <c r="F64" s="316"/>
      <c r="H64" s="17"/>
    </row>
    <row r="65" spans="2:9">
      <c r="B65" s="83"/>
      <c r="C65" s="81"/>
      <c r="D65" s="313"/>
      <c r="E65" s="313"/>
      <c r="F65" s="313"/>
      <c r="H65" s="18"/>
    </row>
    <row r="66" spans="2:9">
      <c r="B66" s="83"/>
      <c r="C66" s="81"/>
      <c r="D66" s="85"/>
      <c r="E66" s="81"/>
      <c r="F66" s="81"/>
      <c r="G66" s="81"/>
      <c r="H66" s="81"/>
      <c r="I66" s="81"/>
    </row>
  </sheetData>
  <mergeCells count="10">
    <mergeCell ref="D65:F65"/>
    <mergeCell ref="F5:H5"/>
    <mergeCell ref="D6:D7"/>
    <mergeCell ref="D64:F64"/>
    <mergeCell ref="B1:H1"/>
    <mergeCell ref="C6:C7"/>
    <mergeCell ref="A2:G2"/>
    <mergeCell ref="A3:G3"/>
    <mergeCell ref="A52:C52"/>
    <mergeCell ref="A53:C53"/>
  </mergeCells>
  <phoneticPr fontId="7" type="noConversion"/>
  <pageMargins left="0.75" right="0.75" top="0.5" bottom="0.5" header="0.5" footer="0.5"/>
  <pageSetup scale="78" orientation="portrait" r:id="rId1"/>
  <headerFooter alignWithMargins="0">
    <oddHeader>&amp;C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F97"/>
  <sheetViews>
    <sheetView showWhiteSpace="0" view="pageBreakPreview" zoomScaleSheetLayoutView="100" workbookViewId="0">
      <selection activeCell="I8" sqref="I8"/>
    </sheetView>
  </sheetViews>
  <sheetFormatPr defaultRowHeight="12.75"/>
  <cols>
    <col min="1" max="1" width="3.5703125" style="234" customWidth="1"/>
    <col min="2" max="2" width="63" style="234" customWidth="1"/>
    <col min="3" max="3" width="18.85546875" style="237" customWidth="1"/>
    <col min="4" max="4" width="17" style="237" customWidth="1"/>
    <col min="5" max="5" width="9.28515625" style="237" hidden="1" customWidth="1"/>
    <col min="6" max="6" width="0.7109375" style="237" hidden="1" customWidth="1"/>
    <col min="7" max="16384" width="9.140625" style="234"/>
  </cols>
  <sheetData>
    <row r="1" spans="1:6">
      <c r="B1" s="235" t="str">
        <f>BS!B1</f>
        <v>M/S XYZ</v>
      </c>
      <c r="C1" s="236"/>
    </row>
    <row r="2" spans="1:6">
      <c r="B2" s="235" t="s">
        <v>61</v>
      </c>
      <c r="C2" s="236"/>
    </row>
    <row r="3" spans="1:6">
      <c r="B3" s="238"/>
      <c r="C3" s="239"/>
    </row>
    <row r="4" spans="1:6">
      <c r="B4" s="240" t="s">
        <v>0</v>
      </c>
      <c r="C4" s="241" t="s">
        <v>24</v>
      </c>
      <c r="D4" s="241" t="s">
        <v>24</v>
      </c>
      <c r="E4" s="242"/>
      <c r="F4" s="241" t="s">
        <v>24</v>
      </c>
    </row>
    <row r="5" spans="1:6">
      <c r="B5" s="243"/>
      <c r="C5" s="32" t="s">
        <v>382</v>
      </c>
      <c r="D5" s="32" t="s">
        <v>190</v>
      </c>
      <c r="E5" s="244"/>
      <c r="F5" s="244" t="s">
        <v>95</v>
      </c>
    </row>
    <row r="6" spans="1:6">
      <c r="A6" s="245"/>
      <c r="B6" s="245"/>
      <c r="C6" s="246"/>
      <c r="D6" s="247"/>
      <c r="E6" s="247"/>
    </row>
    <row r="7" spans="1:6">
      <c r="B7" s="248" t="s">
        <v>62</v>
      </c>
      <c r="C7" s="249"/>
    </row>
    <row r="8" spans="1:6">
      <c r="B8" s="238"/>
      <c r="C8" s="239"/>
    </row>
    <row r="9" spans="1:6">
      <c r="B9" s="248" t="s">
        <v>135</v>
      </c>
      <c r="C9" s="249"/>
    </row>
    <row r="10" spans="1:6">
      <c r="B10" s="42" t="s">
        <v>408</v>
      </c>
      <c r="C10" s="250">
        <f>+D15</f>
        <v>304371.3899999999</v>
      </c>
      <c r="D10" s="250">
        <v>251705</v>
      </c>
    </row>
    <row r="11" spans="1:6">
      <c r="B11" s="251" t="s">
        <v>136</v>
      </c>
      <c r="C11" s="252">
        <f>+'P&amp;L'!$E$22*0.9</f>
        <v>-1027765.5390000008</v>
      </c>
      <c r="D11" s="252">
        <f>ROUND($D$27*90%,0)+0.2</f>
        <v>93837.2</v>
      </c>
    </row>
    <row r="12" spans="1:6">
      <c r="B12" s="251" t="s">
        <v>204</v>
      </c>
      <c r="C12" s="253">
        <v>650865</v>
      </c>
      <c r="D12" s="253">
        <v>603097.18999999994</v>
      </c>
    </row>
    <row r="13" spans="1:6">
      <c r="B13" s="251" t="s">
        <v>206</v>
      </c>
      <c r="C13" s="254">
        <f>SUM(C10:C12)</f>
        <v>-72529.149000000907</v>
      </c>
      <c r="D13" s="254">
        <f>SUM(D10:D12)</f>
        <v>948639.3899999999</v>
      </c>
    </row>
    <row r="14" spans="1:6">
      <c r="B14" s="251" t="s">
        <v>205</v>
      </c>
      <c r="C14" s="255">
        <v>647500</v>
      </c>
      <c r="D14" s="255">
        <v>644268</v>
      </c>
    </row>
    <row r="15" spans="1:6">
      <c r="B15" s="251"/>
      <c r="C15" s="254">
        <f>+C13-C14</f>
        <v>-720029.14900000091</v>
      </c>
      <c r="D15" s="254">
        <f>+D13-D14</f>
        <v>304371.3899999999</v>
      </c>
    </row>
    <row r="16" spans="1:6">
      <c r="B16" s="248"/>
      <c r="C16" s="249"/>
      <c r="D16" s="249"/>
    </row>
    <row r="17" spans="2:6">
      <c r="B17" s="42" t="s">
        <v>409</v>
      </c>
      <c r="C17" s="250">
        <f>+D22</f>
        <v>-266834.64</v>
      </c>
      <c r="D17" s="250">
        <v>294739</v>
      </c>
    </row>
    <row r="18" spans="2:6">
      <c r="B18" s="251" t="s">
        <v>136</v>
      </c>
      <c r="C18" s="252">
        <f>+'P&amp;L'!$E$22*0.1</f>
        <v>-114196.17100000009</v>
      </c>
      <c r="D18" s="252">
        <f>ROUND($D$27*10%,0)+0.36</f>
        <v>10426.36</v>
      </c>
    </row>
    <row r="19" spans="2:6">
      <c r="B19" s="251" t="s">
        <v>204</v>
      </c>
      <c r="C19" s="253">
        <v>340000</v>
      </c>
      <c r="D19" s="253">
        <v>515000</v>
      </c>
    </row>
    <row r="20" spans="2:6">
      <c r="B20" s="251" t="s">
        <v>206</v>
      </c>
      <c r="C20" s="254">
        <f>SUM(C17:C19)</f>
        <v>-41030.811000000103</v>
      </c>
      <c r="D20" s="254">
        <f>SUM(D17:D19)</f>
        <v>820165.36</v>
      </c>
    </row>
    <row r="21" spans="2:6">
      <c r="B21" s="251" t="s">
        <v>205</v>
      </c>
      <c r="C21" s="255">
        <v>100000</v>
      </c>
      <c r="D21" s="255">
        <v>1087000</v>
      </c>
    </row>
    <row r="22" spans="2:6">
      <c r="B22" s="251"/>
      <c r="C22" s="256">
        <f>+C20-C21</f>
        <v>-141030.8110000001</v>
      </c>
      <c r="D22" s="254">
        <f>+D20-D21</f>
        <v>-266834.64</v>
      </c>
    </row>
    <row r="23" spans="2:6">
      <c r="B23" s="248"/>
      <c r="C23" s="254"/>
      <c r="D23" s="254"/>
    </row>
    <row r="24" spans="2:6">
      <c r="B24" s="248" t="s">
        <v>63</v>
      </c>
      <c r="C24" s="249"/>
    </row>
    <row r="25" spans="2:6">
      <c r="B25" s="251"/>
      <c r="C25" s="257"/>
    </row>
    <row r="26" spans="2:6">
      <c r="B26" s="248" t="s">
        <v>137</v>
      </c>
      <c r="C26" s="257"/>
    </row>
    <row r="27" spans="2:6">
      <c r="B27" s="258" t="s">
        <v>138</v>
      </c>
      <c r="C27" s="259">
        <f>'P&amp;L'!E22</f>
        <v>-1141961.7100000009</v>
      </c>
      <c r="D27" s="259">
        <f>'P&amp;L'!F22</f>
        <v>104263.55999999866</v>
      </c>
      <c r="F27" s="237">
        <v>1629453.88</v>
      </c>
    </row>
    <row r="28" spans="2:6">
      <c r="B28" s="258" t="s">
        <v>139</v>
      </c>
      <c r="C28" s="259"/>
    </row>
    <row r="29" spans="2:6">
      <c r="B29" s="344" t="s">
        <v>410</v>
      </c>
      <c r="C29" s="259">
        <f>-C11</f>
        <v>1027765.5390000008</v>
      </c>
      <c r="D29" s="259">
        <f>-D11</f>
        <v>-93837.2</v>
      </c>
    </row>
    <row r="30" spans="2:6">
      <c r="B30" s="344" t="s">
        <v>411</v>
      </c>
      <c r="C30" s="259">
        <f>-C18</f>
        <v>114196.17100000009</v>
      </c>
      <c r="D30" s="259">
        <f>-D18</f>
        <v>-10426.36</v>
      </c>
    </row>
    <row r="31" spans="2:6">
      <c r="B31" s="258"/>
      <c r="C31" s="259"/>
    </row>
    <row r="32" spans="2:6" ht="13.5" thickBot="1">
      <c r="B32" s="251"/>
      <c r="C32" s="260">
        <f>SUM(C26:C31)</f>
        <v>0</v>
      </c>
      <c r="D32" s="260">
        <f>SUM(D26:D31)</f>
        <v>-1.3387762010097504E-9</v>
      </c>
      <c r="F32" s="260" t="e">
        <f>#REF!+#REF!+#REF!</f>
        <v>#REF!</v>
      </c>
    </row>
    <row r="33" spans="2:6" ht="13.5" thickTop="1">
      <c r="B33" s="251"/>
      <c r="C33" s="257"/>
      <c r="D33" s="261"/>
      <c r="F33" s="261"/>
    </row>
    <row r="34" spans="2:6">
      <c r="B34" s="248" t="s">
        <v>64</v>
      </c>
      <c r="C34" s="249"/>
    </row>
    <row r="36" spans="2:6">
      <c r="B36" s="248" t="s">
        <v>71</v>
      </c>
      <c r="C36" s="249"/>
    </row>
    <row r="37" spans="2:6">
      <c r="B37" s="234" t="s">
        <v>6</v>
      </c>
      <c r="C37" s="237">
        <f>+grouping!C17</f>
        <v>274634</v>
      </c>
      <c r="D37" s="237">
        <f>+grouping!D17</f>
        <v>3218556</v>
      </c>
    </row>
    <row r="39" spans="2:6" ht="13.5" thickBot="1">
      <c r="C39" s="260">
        <f>SUM(C34:C38)</f>
        <v>274634</v>
      </c>
      <c r="D39" s="260">
        <f>SUM(D37:D37)</f>
        <v>3218556</v>
      </c>
      <c r="F39" s="260">
        <f>SUM(F37:F37)</f>
        <v>0</v>
      </c>
    </row>
    <row r="40" spans="2:6" ht="13.5" thickTop="1">
      <c r="C40" s="261"/>
      <c r="D40" s="261"/>
      <c r="F40" s="261"/>
    </row>
    <row r="41" spans="2:6">
      <c r="B41" s="248" t="s">
        <v>65</v>
      </c>
      <c r="C41" s="249"/>
    </row>
    <row r="43" spans="2:6">
      <c r="B43" s="248" t="s">
        <v>7</v>
      </c>
      <c r="C43" s="249"/>
    </row>
    <row r="44" spans="2:6">
      <c r="B44" s="262" t="s">
        <v>203</v>
      </c>
      <c r="C44" s="237">
        <f>+grouping!C51</f>
        <v>113459</v>
      </c>
      <c r="D44" s="237">
        <f>+grouping!D51</f>
        <v>128148</v>
      </c>
      <c r="F44" s="237" t="e">
        <f>+#REF!</f>
        <v>#REF!</v>
      </c>
    </row>
    <row r="45" spans="2:6">
      <c r="B45" s="262" t="s">
        <v>141</v>
      </c>
      <c r="C45" s="237">
        <f>+grouping!C39</f>
        <v>150444</v>
      </c>
      <c r="D45" s="237">
        <f>+grouping!D39</f>
        <v>170642</v>
      </c>
      <c r="F45" s="237">
        <v>3371</v>
      </c>
    </row>
    <row r="47" spans="2:6" ht="13.5" thickBot="1">
      <c r="C47" s="260">
        <f>SUM(C40:C46)</f>
        <v>263903</v>
      </c>
      <c r="D47" s="260">
        <f>SUM(D40:D46)</f>
        <v>298790</v>
      </c>
      <c r="F47" s="260" t="e">
        <f>SUM(F44:F45)</f>
        <v>#REF!</v>
      </c>
    </row>
    <row r="48" spans="2:6" ht="13.5" thickTop="1"/>
    <row r="49" spans="2:6">
      <c r="B49" s="248" t="s">
        <v>66</v>
      </c>
      <c r="C49" s="249"/>
    </row>
    <row r="51" spans="2:6">
      <c r="B51" s="248" t="s">
        <v>75</v>
      </c>
      <c r="C51" s="249"/>
    </row>
    <row r="52" spans="2:6">
      <c r="B52" s="251" t="s">
        <v>142</v>
      </c>
      <c r="C52" s="250">
        <f>+grouping!C55</f>
        <v>0</v>
      </c>
      <c r="D52" s="250">
        <f>+grouping!D55</f>
        <v>100000</v>
      </c>
      <c r="F52" s="237">
        <v>6500000</v>
      </c>
    </row>
    <row r="53" spans="2:6">
      <c r="B53" s="251" t="s">
        <v>207</v>
      </c>
      <c r="C53" s="250">
        <f>+grouping!C56</f>
        <v>14000</v>
      </c>
      <c r="D53" s="250">
        <f>+grouping!D56</f>
        <v>14000</v>
      </c>
    </row>
    <row r="54" spans="2:6">
      <c r="B54" s="251" t="s">
        <v>289</v>
      </c>
      <c r="C54" s="237">
        <f>+grouping!C29</f>
        <v>449939</v>
      </c>
      <c r="D54" s="237">
        <f>+grouping!D29</f>
        <v>141318</v>
      </c>
    </row>
    <row r="55" spans="2:6">
      <c r="B55" s="251"/>
    </row>
    <row r="56" spans="2:6" ht="13.5" thickBot="1">
      <c r="C56" s="260">
        <f>SUM(C48:C54)</f>
        <v>463939</v>
      </c>
      <c r="D56" s="260">
        <f>SUM(D48:D54)</f>
        <v>255318</v>
      </c>
      <c r="F56" s="260">
        <f>SUM(F52:F52)</f>
        <v>6500000</v>
      </c>
    </row>
    <row r="57" spans="2:6" ht="13.5" thickTop="1"/>
    <row r="58" spans="2:6">
      <c r="B58" s="248" t="s">
        <v>67</v>
      </c>
      <c r="C58" s="249"/>
    </row>
    <row r="60" spans="2:6">
      <c r="B60" s="245" t="s">
        <v>23</v>
      </c>
      <c r="C60" s="246"/>
    </row>
    <row r="61" spans="2:6">
      <c r="B61" s="263" t="s">
        <v>76</v>
      </c>
      <c r="C61" s="250"/>
    </row>
    <row r="62" spans="2:6">
      <c r="B62" s="264" t="s">
        <v>77</v>
      </c>
      <c r="C62" s="265"/>
      <c r="D62" s="265"/>
      <c r="F62" s="237">
        <v>80594.28</v>
      </c>
    </row>
    <row r="63" spans="2:6">
      <c r="B63" s="264" t="s">
        <v>143</v>
      </c>
      <c r="C63" s="250">
        <f>+grouping!C70</f>
        <v>1028536</v>
      </c>
      <c r="D63" s="250">
        <f>+grouping!D70</f>
        <v>1562110</v>
      </c>
    </row>
    <row r="64" spans="2:6">
      <c r="B64" s="264"/>
      <c r="C64" s="266"/>
    </row>
    <row r="65" spans="2:6" ht="13.5" thickBot="1">
      <c r="B65" s="267"/>
      <c r="C65" s="260">
        <f>SUM(C58:C64)</f>
        <v>1028536</v>
      </c>
      <c r="D65" s="260">
        <f>SUM(D58:D64)</f>
        <v>1562110</v>
      </c>
      <c r="F65" s="260">
        <f>SUM(F61:F62)</f>
        <v>80594.28</v>
      </c>
    </row>
    <row r="66" spans="2:6" ht="13.5" thickTop="1"/>
    <row r="67" spans="2:6">
      <c r="B67" s="251"/>
      <c r="C67" s="257"/>
    </row>
    <row r="68" spans="2:6">
      <c r="B68" s="248"/>
      <c r="C68" s="249"/>
    </row>
    <row r="69" spans="2:6">
      <c r="B69" s="248" t="s">
        <v>68</v>
      </c>
      <c r="C69" s="249"/>
    </row>
    <row r="71" spans="2:6">
      <c r="B71" s="248" t="s">
        <v>70</v>
      </c>
      <c r="C71" s="249"/>
      <c r="D71" s="249"/>
    </row>
    <row r="72" spans="2:6">
      <c r="B72" s="251" t="s">
        <v>78</v>
      </c>
      <c r="C72" s="257">
        <f>+grouping!C88</f>
        <v>28370.06</v>
      </c>
      <c r="D72" s="257">
        <f>+grouping!D88</f>
        <v>984477.75</v>
      </c>
      <c r="F72" s="237">
        <v>16226.5</v>
      </c>
    </row>
    <row r="73" spans="2:6" ht="12" customHeight="1">
      <c r="B73" s="251" t="s">
        <v>79</v>
      </c>
      <c r="C73" s="257">
        <v>60611</v>
      </c>
      <c r="D73" s="257">
        <v>184423</v>
      </c>
      <c r="F73" s="237">
        <v>62425</v>
      </c>
    </row>
    <row r="75" spans="2:6" ht="13.5" thickBot="1">
      <c r="C75" s="260">
        <f>SUM(C72:C73)</f>
        <v>88981.06</v>
      </c>
      <c r="D75" s="260">
        <f>SUM(D72:D73)</f>
        <v>1168900.75</v>
      </c>
      <c r="F75" s="260">
        <f>SUM(F72:F73)</f>
        <v>78651.5</v>
      </c>
    </row>
    <row r="76" spans="2:6" ht="13.5" thickTop="1">
      <c r="B76" s="248"/>
      <c r="C76" s="249"/>
    </row>
    <row r="77" spans="2:6">
      <c r="B77" s="248" t="s">
        <v>69</v>
      </c>
      <c r="C77" s="249"/>
    </row>
    <row r="78" spans="2:6">
      <c r="B78" s="248" t="s">
        <v>85</v>
      </c>
      <c r="C78" s="249"/>
    </row>
    <row r="79" spans="2:6">
      <c r="B79" s="251" t="s">
        <v>144</v>
      </c>
      <c r="C79" s="250">
        <v>333464</v>
      </c>
      <c r="D79" s="250">
        <v>565232</v>
      </c>
    </row>
    <row r="80" spans="2:6">
      <c r="B80" s="251"/>
      <c r="C80" s="250"/>
    </row>
    <row r="81" spans="1:6" ht="13.5" thickBot="1">
      <c r="C81" s="260">
        <f>SUM(C76:C79)</f>
        <v>333464</v>
      </c>
      <c r="D81" s="260">
        <f>SUM(D76:D79)</f>
        <v>565232</v>
      </c>
      <c r="F81" s="260">
        <f>SUM(F79:F79)</f>
        <v>0</v>
      </c>
    </row>
    <row r="82" spans="1:6" ht="13.5" thickTop="1">
      <c r="B82" s="251"/>
      <c r="C82" s="257"/>
      <c r="D82" s="261"/>
      <c r="F82" s="261"/>
    </row>
    <row r="83" spans="1:6">
      <c r="B83" s="251"/>
      <c r="C83" s="257"/>
    </row>
    <row r="84" spans="1:6">
      <c r="A84" s="267"/>
    </row>
    <row r="85" spans="1:6">
      <c r="A85" s="267"/>
    </row>
    <row r="86" spans="1:6">
      <c r="A86" s="267"/>
    </row>
    <row r="87" spans="1:6">
      <c r="A87" s="267"/>
    </row>
    <row r="88" spans="1:6">
      <c r="A88" s="267"/>
    </row>
    <row r="89" spans="1:6">
      <c r="A89" s="267"/>
    </row>
    <row r="90" spans="1:6">
      <c r="A90" s="267"/>
    </row>
    <row r="91" spans="1:6">
      <c r="A91" s="267"/>
    </row>
    <row r="92" spans="1:6">
      <c r="A92" s="267"/>
    </row>
    <row r="93" spans="1:6">
      <c r="A93" s="267"/>
    </row>
    <row r="94" spans="1:6">
      <c r="A94" s="267"/>
    </row>
    <row r="95" spans="1:6">
      <c r="A95" s="267"/>
    </row>
    <row r="96" spans="1:6">
      <c r="A96" s="267"/>
    </row>
    <row r="97" spans="1:1">
      <c r="A97" s="267"/>
    </row>
  </sheetData>
  <phoneticPr fontId="7" type="noConversion"/>
  <printOptions horizontalCentered="1"/>
  <pageMargins left="0.36" right="0.36" top="0.61" bottom="1.25" header="0.2" footer="0.25"/>
  <pageSetup scale="90" fitToHeight="2" orientation="portrait" horizontalDpi="4294967293" r:id="rId1"/>
  <headerFooter alignWithMargins="0">
    <oddHeader>&amp;C</oddHeader>
  </headerFooter>
  <rowBreaks count="1" manualBreakCount="1">
    <brk id="5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2:G78"/>
  <sheetViews>
    <sheetView view="pageBreakPreview" topLeftCell="A33" zoomScaleSheetLayoutView="100" workbookViewId="0">
      <selection activeCell="B12" sqref="B12"/>
    </sheetView>
  </sheetViews>
  <sheetFormatPr defaultRowHeight="12.75"/>
  <cols>
    <col min="1" max="1" width="3.7109375" style="14" customWidth="1"/>
    <col min="2" max="2" width="63.140625" style="14" bestFit="1" customWidth="1"/>
    <col min="3" max="3" width="16.28515625" style="14" customWidth="1"/>
    <col min="4" max="4" width="16" style="14" customWidth="1"/>
    <col min="5" max="5" width="2.85546875" style="14" hidden="1" customWidth="1"/>
    <col min="6" max="7" width="14.5703125" style="14" hidden="1" customWidth="1"/>
    <col min="8" max="16384" width="9.140625" style="14"/>
  </cols>
  <sheetData>
    <row r="2" spans="2:6">
      <c r="B2" s="113" t="str">
        <f>'BS Sch'!B1</f>
        <v>M/S XYZ</v>
      </c>
    </row>
    <row r="3" spans="2:6">
      <c r="B3" s="113" t="s">
        <v>87</v>
      </c>
    </row>
    <row r="4" spans="2:6">
      <c r="B4" s="114"/>
    </row>
    <row r="5" spans="2:6">
      <c r="B5" s="34" t="s">
        <v>0</v>
      </c>
      <c r="C5" s="20" t="s">
        <v>32</v>
      </c>
      <c r="D5" s="20" t="s">
        <v>32</v>
      </c>
      <c r="E5" s="34"/>
      <c r="F5" s="20" t="s">
        <v>32</v>
      </c>
    </row>
    <row r="6" spans="2:6">
      <c r="B6" s="102"/>
      <c r="C6" s="32" t="s">
        <v>382</v>
      </c>
      <c r="D6" s="32" t="s">
        <v>190</v>
      </c>
      <c r="E6" s="32"/>
      <c r="F6" s="32" t="s">
        <v>95</v>
      </c>
    </row>
    <row r="7" spans="2:6">
      <c r="B7" s="31"/>
    </row>
    <row r="8" spans="2:6">
      <c r="B8" s="39" t="s">
        <v>101</v>
      </c>
    </row>
    <row r="9" spans="2:6">
      <c r="B9" s="39"/>
    </row>
    <row r="10" spans="2:6">
      <c r="B10" s="39" t="s">
        <v>22</v>
      </c>
    </row>
    <row r="11" spans="2:6">
      <c r="B11" s="232" t="s">
        <v>415</v>
      </c>
      <c r="C11" s="100">
        <v>12000093</v>
      </c>
      <c r="D11" s="100">
        <v>24537506</v>
      </c>
    </row>
    <row r="12" spans="2:6">
      <c r="B12" s="15"/>
    </row>
    <row r="13" spans="2:6" ht="13.5" thickBot="1">
      <c r="B13" s="15"/>
      <c r="C13" s="33">
        <f>SUM(C8:C12)</f>
        <v>12000093</v>
      </c>
      <c r="D13" s="33">
        <f>SUM(D8:D12)</f>
        <v>24537506</v>
      </c>
      <c r="F13" s="33">
        <f>SUM(F11:F12)</f>
        <v>0</v>
      </c>
    </row>
    <row r="14" spans="2:6" ht="13.5" thickTop="1">
      <c r="B14" s="15"/>
      <c r="C14" s="16"/>
      <c r="D14" s="16"/>
      <c r="F14" s="16"/>
    </row>
    <row r="15" spans="2:6">
      <c r="B15" s="39" t="s">
        <v>160</v>
      </c>
    </row>
    <row r="16" spans="2:6">
      <c r="B16" s="39"/>
    </row>
    <row r="17" spans="2:6">
      <c r="B17" s="39" t="s">
        <v>34</v>
      </c>
    </row>
    <row r="18" spans="2:6" hidden="1">
      <c r="B18" s="14" t="s">
        <v>11</v>
      </c>
    </row>
    <row r="19" spans="2:6" hidden="1">
      <c r="B19" s="14" t="s">
        <v>12</v>
      </c>
    </row>
    <row r="20" spans="2:6" hidden="1">
      <c r="B20" s="15" t="s">
        <v>98</v>
      </c>
      <c r="F20" s="14">
        <v>0</v>
      </c>
    </row>
    <row r="21" spans="2:6" hidden="1">
      <c r="B21" s="15" t="s">
        <v>82</v>
      </c>
    </row>
    <row r="22" spans="2:6" hidden="1">
      <c r="B22" s="15" t="s">
        <v>99</v>
      </c>
      <c r="D22" s="14">
        <v>0</v>
      </c>
      <c r="F22" s="14">
        <v>0</v>
      </c>
    </row>
    <row r="23" spans="2:6" hidden="1">
      <c r="B23" s="15" t="s">
        <v>83</v>
      </c>
      <c r="D23" s="14">
        <v>0</v>
      </c>
      <c r="F23" s="14">
        <v>0</v>
      </c>
    </row>
    <row r="24" spans="2:6">
      <c r="B24" s="15" t="s">
        <v>97</v>
      </c>
      <c r="C24" s="12">
        <f>1864+40110</f>
        <v>41974</v>
      </c>
      <c r="D24" s="14">
        <v>0</v>
      </c>
      <c r="F24" s="14">
        <v>0</v>
      </c>
    </row>
    <row r="25" spans="2:6">
      <c r="B25" s="15"/>
    </row>
    <row r="26" spans="2:6" ht="13.5" thickBot="1">
      <c r="C26" s="33">
        <f>SUM(C14:C25)</f>
        <v>41974</v>
      </c>
      <c r="D26" s="33">
        <f>SUM(D14:D25)</f>
        <v>0</v>
      </c>
      <c r="F26" s="33">
        <f>SUM(F18:F24)</f>
        <v>0</v>
      </c>
    </row>
    <row r="27" spans="2:6" ht="13.5" thickTop="1">
      <c r="B27" s="39"/>
    </row>
    <row r="28" spans="2:6">
      <c r="B28" s="39"/>
    </row>
    <row r="29" spans="2:6">
      <c r="B29" s="39" t="s">
        <v>161</v>
      </c>
    </row>
    <row r="30" spans="2:6">
      <c r="B30" s="39"/>
    </row>
    <row r="31" spans="2:6">
      <c r="B31" s="39" t="s">
        <v>146</v>
      </c>
      <c r="C31" s="231"/>
    </row>
    <row r="32" spans="2:6">
      <c r="B32" s="15" t="s">
        <v>84</v>
      </c>
      <c r="C32" s="231">
        <f>1792667+12700</f>
        <v>1805367</v>
      </c>
      <c r="D32" s="100">
        <v>1604200</v>
      </c>
    </row>
    <row r="33" spans="2:4">
      <c r="B33" s="100" t="s">
        <v>147</v>
      </c>
      <c r="C33" s="231">
        <v>633</v>
      </c>
      <c r="D33" s="100">
        <v>910</v>
      </c>
    </row>
    <row r="34" spans="2:4">
      <c r="B34" s="100" t="s">
        <v>148</v>
      </c>
      <c r="C34" s="231">
        <v>10955</v>
      </c>
      <c r="D34" s="100">
        <v>13444</v>
      </c>
    </row>
    <row r="35" spans="2:4">
      <c r="B35" s="100" t="s">
        <v>149</v>
      </c>
      <c r="C35" s="232">
        <v>103947</v>
      </c>
      <c r="D35" s="100">
        <v>95763.19</v>
      </c>
    </row>
    <row r="36" spans="2:4">
      <c r="B36" s="100" t="s">
        <v>150</v>
      </c>
      <c r="C36" s="232">
        <f>184910+7529</f>
        <v>192439</v>
      </c>
      <c r="D36" s="100">
        <v>127934</v>
      </c>
    </row>
    <row r="37" spans="2:4">
      <c r="B37" s="100" t="s">
        <v>151</v>
      </c>
      <c r="C37" s="232">
        <v>13441</v>
      </c>
      <c r="D37" s="100">
        <v>10881</v>
      </c>
    </row>
    <row r="38" spans="2:4">
      <c r="B38" s="232" t="s">
        <v>393</v>
      </c>
      <c r="C38" s="232">
        <v>142754.79</v>
      </c>
      <c r="D38" s="100">
        <v>0</v>
      </c>
    </row>
    <row r="39" spans="2:4">
      <c r="B39" s="232" t="s">
        <v>394</v>
      </c>
      <c r="C39" s="232">
        <v>38271</v>
      </c>
      <c r="D39" s="100">
        <v>0</v>
      </c>
    </row>
    <row r="40" spans="2:4">
      <c r="B40" s="100" t="s">
        <v>152</v>
      </c>
      <c r="C40" s="232">
        <v>15000</v>
      </c>
      <c r="D40" s="100">
        <f>15000+24000</f>
        <v>39000</v>
      </c>
    </row>
    <row r="41" spans="2:4">
      <c r="B41" s="100" t="s">
        <v>153</v>
      </c>
      <c r="C41" s="232">
        <v>3462</v>
      </c>
      <c r="D41" s="100">
        <v>12140</v>
      </c>
    </row>
    <row r="42" spans="2:4">
      <c r="B42" s="100" t="s">
        <v>154</v>
      </c>
      <c r="C42" s="232">
        <v>40300</v>
      </c>
      <c r="D42" s="100">
        <v>8900</v>
      </c>
    </row>
    <row r="43" spans="2:4">
      <c r="B43" s="100" t="s">
        <v>155</v>
      </c>
      <c r="C43" s="232">
        <v>168000</v>
      </c>
      <c r="D43" s="100">
        <v>175000</v>
      </c>
    </row>
    <row r="44" spans="2:4">
      <c r="B44" s="100" t="s">
        <v>156</v>
      </c>
      <c r="C44" s="232">
        <v>27321</v>
      </c>
      <c r="D44" s="100">
        <v>29581</v>
      </c>
    </row>
    <row r="45" spans="2:4">
      <c r="B45" s="100" t="s">
        <v>191</v>
      </c>
      <c r="C45" s="232">
        <v>5000</v>
      </c>
      <c r="D45" s="14">
        <v>5000</v>
      </c>
    </row>
    <row r="46" spans="2:4">
      <c r="B46" s="100" t="s">
        <v>192</v>
      </c>
      <c r="C46" s="232">
        <v>889.92</v>
      </c>
      <c r="D46" s="14">
        <v>1322.25</v>
      </c>
    </row>
    <row r="47" spans="2:4">
      <c r="B47" s="232" t="s">
        <v>392</v>
      </c>
      <c r="C47" s="232">
        <v>12425</v>
      </c>
      <c r="D47" s="14">
        <v>8099</v>
      </c>
    </row>
    <row r="48" spans="2:4">
      <c r="B48" s="100" t="s">
        <v>193</v>
      </c>
      <c r="C48" s="232">
        <v>10100</v>
      </c>
      <c r="D48" s="14">
        <v>33118</v>
      </c>
    </row>
    <row r="49" spans="2:6">
      <c r="B49" s="100" t="s">
        <v>194</v>
      </c>
      <c r="C49" s="232">
        <f>338+5384+120</f>
        <v>5842</v>
      </c>
      <c r="D49" s="14">
        <v>14739</v>
      </c>
    </row>
    <row r="50" spans="2:6">
      <c r="B50" s="100" t="s">
        <v>195</v>
      </c>
      <c r="C50" s="232">
        <v>499</v>
      </c>
      <c r="D50" s="14">
        <v>3437</v>
      </c>
    </row>
    <row r="51" spans="2:6">
      <c r="B51" s="100" t="s">
        <v>196</v>
      </c>
      <c r="C51" s="232">
        <v>47350</v>
      </c>
      <c r="D51" s="14">
        <v>14727</v>
      </c>
    </row>
    <row r="52" spans="2:6">
      <c r="B52" s="100" t="s">
        <v>197</v>
      </c>
      <c r="C52" s="232">
        <v>18937</v>
      </c>
      <c r="D52" s="14">
        <v>11164</v>
      </c>
    </row>
    <row r="53" spans="2:6">
      <c r="B53" s="100" t="s">
        <v>198</v>
      </c>
      <c r="C53" s="232">
        <v>75000</v>
      </c>
      <c r="D53" s="14">
        <v>67010</v>
      </c>
    </row>
    <row r="54" spans="2:6">
      <c r="B54" s="100" t="s">
        <v>199</v>
      </c>
      <c r="C54" s="232">
        <v>0</v>
      </c>
      <c r="D54" s="14">
        <v>1827</v>
      </c>
    </row>
    <row r="55" spans="2:6">
      <c r="B55" s="100" t="s">
        <v>200</v>
      </c>
      <c r="C55" s="232">
        <v>16010</v>
      </c>
      <c r="D55" s="14">
        <v>3728</v>
      </c>
    </row>
    <row r="56" spans="2:6">
      <c r="B56" s="100" t="s">
        <v>201</v>
      </c>
      <c r="C56" s="232">
        <v>48299</v>
      </c>
      <c r="D56" s="14">
        <v>34428</v>
      </c>
    </row>
    <row r="57" spans="2:6">
      <c r="B57" s="100" t="s">
        <v>202</v>
      </c>
      <c r="C57" s="232">
        <v>19739</v>
      </c>
      <c r="D57" s="14">
        <v>3200</v>
      </c>
    </row>
    <row r="58" spans="2:6">
      <c r="B58" s="15"/>
      <c r="C58" s="38"/>
    </row>
    <row r="59" spans="2:6" ht="13.5" thickBot="1">
      <c r="B59" s="39"/>
      <c r="C59" s="33">
        <f>SUM(C31:C58)</f>
        <v>2821981.71</v>
      </c>
      <c r="D59" s="33">
        <f>SUM(D31:D58)</f>
        <v>2319552.44</v>
      </c>
      <c r="F59" s="33">
        <f>+SUM(F34:F44)</f>
        <v>0</v>
      </c>
    </row>
    <row r="60" spans="2:6" ht="13.5" thickTop="1">
      <c r="B60" s="39"/>
    </row>
    <row r="61" spans="2:6" hidden="1">
      <c r="B61" s="39" t="s">
        <v>101</v>
      </c>
    </row>
    <row r="62" spans="2:6" hidden="1"/>
    <row r="63" spans="2:6" hidden="1">
      <c r="B63" s="39" t="s">
        <v>36</v>
      </c>
    </row>
    <row r="64" spans="2:6" hidden="1">
      <c r="B64" s="15" t="s">
        <v>88</v>
      </c>
      <c r="D64" s="14">
        <v>0</v>
      </c>
      <c r="F64" s="14">
        <v>0</v>
      </c>
    </row>
    <row r="65" spans="2:6" hidden="1">
      <c r="B65" s="15" t="s">
        <v>89</v>
      </c>
      <c r="D65" s="14">
        <v>0</v>
      </c>
      <c r="F65" s="14">
        <v>0</v>
      </c>
    </row>
    <row r="66" spans="2:6" hidden="1">
      <c r="B66" s="15" t="s">
        <v>90</v>
      </c>
      <c r="D66" s="14">
        <v>0</v>
      </c>
      <c r="F66" s="14">
        <v>0</v>
      </c>
    </row>
    <row r="67" spans="2:6" hidden="1">
      <c r="B67" s="15" t="s">
        <v>91</v>
      </c>
      <c r="D67" s="14">
        <v>0</v>
      </c>
      <c r="F67" s="14">
        <v>0</v>
      </c>
    </row>
    <row r="68" spans="2:6" hidden="1">
      <c r="B68" s="15"/>
      <c r="C68" s="16"/>
      <c r="D68" s="16"/>
      <c r="F68" s="16"/>
    </row>
    <row r="69" spans="2:6" ht="13.5" hidden="1" thickBot="1">
      <c r="C69" s="33"/>
      <c r="D69" s="33">
        <f>+SUM(D64:D67)</f>
        <v>0</v>
      </c>
      <c r="F69" s="33">
        <f>+SUM(F64:F67)</f>
        <v>0</v>
      </c>
    </row>
    <row r="71" spans="2:6" hidden="1">
      <c r="B71" s="39" t="s">
        <v>100</v>
      </c>
    </row>
    <row r="72" spans="2:6" hidden="1">
      <c r="B72" s="39"/>
    </row>
    <row r="73" spans="2:6" hidden="1">
      <c r="B73" s="39" t="s">
        <v>9</v>
      </c>
    </row>
    <row r="74" spans="2:6" hidden="1">
      <c r="B74" s="15" t="s">
        <v>80</v>
      </c>
    </row>
    <row r="75" spans="2:6" hidden="1">
      <c r="B75" s="14" t="s">
        <v>10</v>
      </c>
    </row>
    <row r="76" spans="2:6" hidden="1">
      <c r="B76" s="15" t="s">
        <v>81</v>
      </c>
    </row>
    <row r="77" spans="2:6" hidden="1">
      <c r="B77" s="15" t="s">
        <v>92</v>
      </c>
    </row>
    <row r="78" spans="2:6" ht="13.5" hidden="1" thickBot="1">
      <c r="C78" s="33"/>
      <c r="D78" s="33">
        <f>SUM(D74:D77)</f>
        <v>0</v>
      </c>
      <c r="F78" s="33">
        <f>SUM(F74:F77)</f>
        <v>0</v>
      </c>
    </row>
  </sheetData>
  <phoneticPr fontId="7" type="noConversion"/>
  <pageMargins left="0.25" right="0.25" top="1" bottom="1" header="0.5" footer="0.5"/>
  <pageSetup scale="97" orientation="portrait" horizontalDpi="4294967293" r:id="rId1"/>
  <headerFooter alignWithMargins="0">
    <oddHeader>&amp;CM/S AERO FABS PVT. LTD.</oddHeader>
  </headerFooter>
  <rowBreaks count="1" manualBreakCount="1">
    <brk id="2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B1:D89"/>
  <sheetViews>
    <sheetView workbookViewId="0">
      <selection activeCell="G22" sqref="G22"/>
    </sheetView>
  </sheetViews>
  <sheetFormatPr defaultRowHeight="12.75"/>
  <cols>
    <col min="1" max="1" width="9.140625" style="14"/>
    <col min="2" max="2" width="35.140625" style="14" customWidth="1"/>
    <col min="3" max="4" width="12.85546875" style="14" bestFit="1" customWidth="1"/>
    <col min="5" max="16384" width="9.140625" style="14"/>
  </cols>
  <sheetData>
    <row r="1" spans="2:4">
      <c r="B1" s="320" t="str">
        <f>+'P&amp;L Sch'!B2</f>
        <v>M/S XYZ</v>
      </c>
      <c r="C1" s="320"/>
      <c r="D1" s="320"/>
    </row>
    <row r="2" spans="2:4">
      <c r="B2" s="320"/>
      <c r="C2" s="320"/>
      <c r="D2" s="320"/>
    </row>
    <row r="4" spans="2:4">
      <c r="B4" s="320" t="s">
        <v>384</v>
      </c>
      <c r="C4" s="320"/>
      <c r="D4" s="320"/>
    </row>
    <row r="6" spans="2:4">
      <c r="B6" s="39" t="s">
        <v>13</v>
      </c>
      <c r="C6" s="39" t="s">
        <v>208</v>
      </c>
      <c r="D6" s="39" t="s">
        <v>168</v>
      </c>
    </row>
    <row r="7" spans="2:4">
      <c r="B7" s="39"/>
      <c r="C7" s="39"/>
      <c r="D7" s="39"/>
    </row>
    <row r="8" spans="2:4">
      <c r="B8" s="39" t="s">
        <v>267</v>
      </c>
    </row>
    <row r="9" spans="2:4">
      <c r="B9" s="14" t="s">
        <v>412</v>
      </c>
      <c r="C9" s="14">
        <v>840</v>
      </c>
      <c r="D9" s="14">
        <v>3995</v>
      </c>
    </row>
    <row r="10" spans="2:4">
      <c r="B10" s="14" t="s">
        <v>412</v>
      </c>
      <c r="C10" s="14">
        <v>1870</v>
      </c>
      <c r="D10" s="14">
        <v>1870</v>
      </c>
    </row>
    <row r="11" spans="2:4">
      <c r="B11" s="14" t="s">
        <v>412</v>
      </c>
      <c r="C11" s="14">
        <v>0</v>
      </c>
      <c r="D11" s="14">
        <v>1180453</v>
      </c>
    </row>
    <row r="12" spans="2:4">
      <c r="B12" s="14" t="s">
        <v>412</v>
      </c>
      <c r="C12" s="14">
        <v>0</v>
      </c>
      <c r="D12" s="14">
        <v>1492406</v>
      </c>
    </row>
    <row r="13" spans="2:4">
      <c r="B13" s="14" t="s">
        <v>412</v>
      </c>
      <c r="C13" s="14">
        <v>0</v>
      </c>
      <c r="D13" s="14">
        <v>55250</v>
      </c>
    </row>
    <row r="14" spans="2:4">
      <c r="B14" s="14" t="s">
        <v>412</v>
      </c>
      <c r="C14" s="14">
        <v>246724</v>
      </c>
      <c r="D14" s="14">
        <v>484582</v>
      </c>
    </row>
    <row r="15" spans="2:4">
      <c r="B15" s="14" t="s">
        <v>412</v>
      </c>
      <c r="C15" s="14">
        <v>25200</v>
      </c>
      <c r="D15" s="14">
        <v>0</v>
      </c>
    </row>
    <row r="17" spans="2:4" ht="13.5" thickBot="1">
      <c r="B17" s="149" t="s">
        <v>4</v>
      </c>
      <c r="C17" s="33">
        <f>SUM(C7:C16)</f>
        <v>274634</v>
      </c>
      <c r="D17" s="33">
        <f>SUM(D7:D16)</f>
        <v>3218556</v>
      </c>
    </row>
    <row r="18" spans="2:4" ht="13.5" thickTop="1"/>
    <row r="19" spans="2:4">
      <c r="B19" s="39" t="s">
        <v>268</v>
      </c>
    </row>
    <row r="20" spans="2:4">
      <c r="B20" s="14" t="s">
        <v>412</v>
      </c>
      <c r="C20" s="14">
        <v>0</v>
      </c>
      <c r="D20" s="14">
        <v>3155</v>
      </c>
    </row>
    <row r="21" spans="2:4">
      <c r="B21" s="14" t="s">
        <v>412</v>
      </c>
      <c r="C21" s="14">
        <v>0</v>
      </c>
      <c r="D21" s="14">
        <v>295</v>
      </c>
    </row>
    <row r="22" spans="2:4">
      <c r="B22" s="14" t="s">
        <v>412</v>
      </c>
      <c r="C22" s="14">
        <v>3264</v>
      </c>
      <c r="D22" s="14">
        <v>0</v>
      </c>
    </row>
    <row r="23" spans="2:4">
      <c r="B23" s="14" t="s">
        <v>412</v>
      </c>
      <c r="C23" s="14">
        <v>408524</v>
      </c>
      <c r="D23" s="14">
        <v>0</v>
      </c>
    </row>
    <row r="24" spans="2:4">
      <c r="B24" s="14" t="s">
        <v>412</v>
      </c>
      <c r="C24" s="14">
        <v>1774</v>
      </c>
      <c r="D24" s="14">
        <v>1813</v>
      </c>
    </row>
    <row r="25" spans="2:4">
      <c r="B25" s="14" t="s">
        <v>412</v>
      </c>
      <c r="C25" s="14">
        <v>6120</v>
      </c>
      <c r="D25" s="14">
        <v>0</v>
      </c>
    </row>
    <row r="26" spans="2:4">
      <c r="B26" s="14" t="s">
        <v>412</v>
      </c>
      <c r="C26" s="14">
        <v>9313</v>
      </c>
      <c r="D26" s="14">
        <v>29465</v>
      </c>
    </row>
    <row r="27" spans="2:4">
      <c r="B27" s="14" t="s">
        <v>412</v>
      </c>
      <c r="C27" s="14">
        <v>20944</v>
      </c>
      <c r="D27" s="14">
        <v>106590</v>
      </c>
    </row>
    <row r="29" spans="2:4" ht="13.5" thickBot="1">
      <c r="B29" s="149" t="s">
        <v>4</v>
      </c>
      <c r="C29" s="33">
        <f>SUM(C19:C28)</f>
        <v>449939</v>
      </c>
      <c r="D29" s="33">
        <f>SUM(D19:D28)</f>
        <v>141318</v>
      </c>
    </row>
    <row r="30" spans="2:4" ht="13.5" thickTop="1"/>
    <row r="31" spans="2:4">
      <c r="B31" s="39" t="s">
        <v>269</v>
      </c>
    </row>
    <row r="33" spans="2:4">
      <c r="B33" s="148" t="s">
        <v>270</v>
      </c>
      <c r="C33" s="14">
        <v>114331</v>
      </c>
      <c r="D33" s="14">
        <v>100387</v>
      </c>
    </row>
    <row r="34" spans="2:4">
      <c r="B34" s="148" t="s">
        <v>271</v>
      </c>
      <c r="C34" s="14">
        <v>19119</v>
      </c>
      <c r="D34" s="14">
        <v>21410</v>
      </c>
    </row>
    <row r="35" spans="2:4">
      <c r="B35" s="148" t="s">
        <v>391</v>
      </c>
      <c r="C35" s="14">
        <v>4073</v>
      </c>
      <c r="D35" s="14">
        <v>0</v>
      </c>
    </row>
    <row r="36" spans="2:4">
      <c r="B36" s="148" t="s">
        <v>272</v>
      </c>
      <c r="C36" s="14">
        <v>1400</v>
      </c>
      <c r="D36" s="14">
        <v>1400</v>
      </c>
    </row>
    <row r="37" spans="2:4">
      <c r="B37" s="148" t="s">
        <v>273</v>
      </c>
      <c r="C37" s="14">
        <v>11521</v>
      </c>
      <c r="D37" s="14">
        <v>47445</v>
      </c>
    </row>
    <row r="39" spans="2:4" ht="13.5" thickBot="1">
      <c r="B39" s="149" t="s">
        <v>4</v>
      </c>
      <c r="C39" s="33">
        <f>SUM(C30:C38)</f>
        <v>150444</v>
      </c>
      <c r="D39" s="33">
        <f>SUM(D30:D38)</f>
        <v>170642</v>
      </c>
    </row>
    <row r="40" spans="2:4" ht="13.5" thickTop="1"/>
    <row r="41" spans="2:4">
      <c r="B41" s="39" t="s">
        <v>274</v>
      </c>
    </row>
    <row r="43" spans="2:4">
      <c r="B43" s="148" t="s">
        <v>275</v>
      </c>
      <c r="C43" s="14">
        <v>0</v>
      </c>
      <c r="D43" s="14">
        <v>24000</v>
      </c>
    </row>
    <row r="44" spans="2:4">
      <c r="B44" s="148" t="s">
        <v>276</v>
      </c>
      <c r="C44" s="14">
        <v>5000</v>
      </c>
      <c r="D44" s="14">
        <v>5000</v>
      </c>
    </row>
    <row r="45" spans="2:4">
      <c r="B45" s="148" t="s">
        <v>277</v>
      </c>
      <c r="C45" s="14">
        <v>15000</v>
      </c>
      <c r="D45" s="14">
        <v>15000</v>
      </c>
    </row>
    <row r="46" spans="2:4">
      <c r="B46" s="148" t="s">
        <v>278</v>
      </c>
      <c r="C46" s="14">
        <v>0</v>
      </c>
      <c r="D46" s="14">
        <v>1648</v>
      </c>
    </row>
    <row r="47" spans="2:4">
      <c r="B47" s="148" t="s">
        <v>279</v>
      </c>
      <c r="C47" s="14">
        <v>83500</v>
      </c>
      <c r="D47" s="14">
        <v>82500</v>
      </c>
    </row>
    <row r="48" spans="2:4">
      <c r="B48" s="148" t="s">
        <v>395</v>
      </c>
      <c r="C48" s="14">
        <v>2815</v>
      </c>
      <c r="D48" s="14">
        <v>0</v>
      </c>
    </row>
    <row r="49" spans="2:4">
      <c r="B49" s="148" t="s">
        <v>280</v>
      </c>
      <c r="C49" s="14">
        <v>7144</v>
      </c>
      <c r="D49" s="14">
        <v>0</v>
      </c>
    </row>
    <row r="50" spans="2:4">
      <c r="B50" s="148"/>
    </row>
    <row r="51" spans="2:4" ht="13.5" thickBot="1">
      <c r="B51" s="149" t="s">
        <v>4</v>
      </c>
      <c r="C51" s="33">
        <f>SUM(C40:C50)</f>
        <v>113459</v>
      </c>
      <c r="D51" s="33">
        <f>SUM(D40:D50)</f>
        <v>128148</v>
      </c>
    </row>
    <row r="52" spans="2:4" ht="13.5" thickTop="1"/>
    <row r="53" spans="2:4">
      <c r="B53" s="39" t="s">
        <v>281</v>
      </c>
    </row>
    <row r="55" spans="2:4">
      <c r="B55" s="14" t="s">
        <v>282</v>
      </c>
      <c r="C55" s="14">
        <v>0</v>
      </c>
      <c r="D55" s="14">
        <v>100000</v>
      </c>
    </row>
    <row r="56" spans="2:4">
      <c r="B56" s="148" t="s">
        <v>283</v>
      </c>
      <c r="C56" s="14">
        <v>14000</v>
      </c>
      <c r="D56" s="14">
        <v>14000</v>
      </c>
    </row>
    <row r="58" spans="2:4" ht="13.5" thickBot="1">
      <c r="B58" s="149" t="s">
        <v>4</v>
      </c>
      <c r="C58" s="33">
        <f>SUM(C54:C57)</f>
        <v>14000</v>
      </c>
      <c r="D58" s="33">
        <f>SUM(D54:D57)</f>
        <v>114000</v>
      </c>
    </row>
    <row r="59" spans="2:4" ht="13.5" thickTop="1"/>
    <row r="60" spans="2:4">
      <c r="B60" s="39" t="s">
        <v>284</v>
      </c>
    </row>
    <row r="61" spans="2:4">
      <c r="B61" s="39"/>
    </row>
    <row r="62" spans="2:4">
      <c r="B62" s="14" t="s">
        <v>412</v>
      </c>
      <c r="C62" s="14">
        <v>157870</v>
      </c>
      <c r="D62" s="14">
        <v>1053412</v>
      </c>
    </row>
    <row r="63" spans="2:4">
      <c r="B63" s="14" t="s">
        <v>412</v>
      </c>
      <c r="C63" s="14">
        <v>38626</v>
      </c>
      <c r="D63" s="14">
        <v>38626</v>
      </c>
    </row>
    <row r="64" spans="2:4">
      <c r="B64" s="14" t="s">
        <v>412</v>
      </c>
      <c r="C64" s="14">
        <v>728113</v>
      </c>
      <c r="D64" s="14">
        <v>1129</v>
      </c>
    </row>
    <row r="65" spans="2:4">
      <c r="B65" s="14" t="s">
        <v>412</v>
      </c>
      <c r="C65" s="14">
        <v>102685</v>
      </c>
      <c r="D65" s="14">
        <v>158871</v>
      </c>
    </row>
    <row r="66" spans="2:4">
      <c r="B66" s="14" t="s">
        <v>412</v>
      </c>
      <c r="C66" s="14">
        <v>0</v>
      </c>
      <c r="D66" s="14">
        <v>147191</v>
      </c>
    </row>
    <row r="67" spans="2:4">
      <c r="B67" s="14" t="s">
        <v>412</v>
      </c>
      <c r="C67" s="14">
        <v>0</v>
      </c>
      <c r="D67" s="14">
        <v>162881</v>
      </c>
    </row>
    <row r="68" spans="2:4">
      <c r="B68" s="14" t="s">
        <v>412</v>
      </c>
      <c r="C68" s="14">
        <v>1242</v>
      </c>
      <c r="D68" s="14">
        <v>0</v>
      </c>
    </row>
    <row r="70" spans="2:4" ht="13.5" thickBot="1">
      <c r="B70" s="149" t="s">
        <v>4</v>
      </c>
      <c r="C70" s="33">
        <f>SUM(C59:C69)</f>
        <v>1028536</v>
      </c>
      <c r="D70" s="33">
        <f>SUM(D59:D69)</f>
        <v>1562110</v>
      </c>
    </row>
    <row r="71" spans="2:4" ht="13.5" thickTop="1"/>
    <row r="73" spans="2:4">
      <c r="B73" s="39" t="s">
        <v>285</v>
      </c>
    </row>
    <row r="74" spans="2:4">
      <c r="B74" s="39"/>
    </row>
    <row r="75" spans="2:4">
      <c r="B75" s="14" t="s">
        <v>412</v>
      </c>
      <c r="C75" s="14">
        <v>0</v>
      </c>
      <c r="D75" s="14">
        <v>2440</v>
      </c>
    </row>
    <row r="76" spans="2:4">
      <c r="B76" s="14" t="s">
        <v>412</v>
      </c>
      <c r="C76" s="14">
        <v>20000</v>
      </c>
      <c r="D76" s="14">
        <v>10000</v>
      </c>
    </row>
    <row r="77" spans="2:4">
      <c r="B77" s="14" t="s">
        <v>412</v>
      </c>
      <c r="C77" s="14">
        <v>0</v>
      </c>
      <c r="D77" s="14">
        <v>83480</v>
      </c>
    </row>
    <row r="78" spans="2:4">
      <c r="B78" s="14" t="s">
        <v>412</v>
      </c>
      <c r="C78" s="14">
        <v>0</v>
      </c>
      <c r="D78" s="14">
        <v>739</v>
      </c>
    </row>
    <row r="79" spans="2:4">
      <c r="B79" s="14" t="s">
        <v>412</v>
      </c>
      <c r="C79" s="14">
        <v>119599</v>
      </c>
      <c r="D79" s="14">
        <v>0</v>
      </c>
    </row>
    <row r="81" spans="2:4" ht="13.5" thickBot="1">
      <c r="B81" s="149" t="s">
        <v>4</v>
      </c>
      <c r="C81" s="33">
        <f>SUM(C71:C80)</f>
        <v>139599</v>
      </c>
      <c r="D81" s="33">
        <f>SUM(D71:D80)</f>
        <v>96659</v>
      </c>
    </row>
    <row r="82" spans="2:4" ht="13.5" thickTop="1"/>
    <row r="83" spans="2:4">
      <c r="B83" s="39" t="s">
        <v>286</v>
      </c>
    </row>
    <row r="85" spans="2:4">
      <c r="B85" s="14" t="s">
        <v>413</v>
      </c>
      <c r="C85" s="14">
        <v>0</v>
      </c>
      <c r="D85" s="14">
        <v>401009.75</v>
      </c>
    </row>
    <row r="86" spans="2:4">
      <c r="B86" s="14" t="s">
        <v>288</v>
      </c>
      <c r="C86" s="14">
        <v>28370.06</v>
      </c>
      <c r="D86" s="14">
        <v>583468</v>
      </c>
    </row>
    <row r="88" spans="2:4" ht="13.5" thickBot="1">
      <c r="B88" s="149" t="s">
        <v>4</v>
      </c>
      <c r="C88" s="33">
        <f>SUM(C82:C87)</f>
        <v>28370.06</v>
      </c>
      <c r="D88" s="33">
        <f>SUM(D82:D87)</f>
        <v>984477.75</v>
      </c>
    </row>
    <row r="89" spans="2:4" ht="13.5" thickTop="1"/>
  </sheetData>
  <mergeCells count="2">
    <mergeCell ref="B1:D2"/>
    <mergeCell ref="B4:D4"/>
  </mergeCells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05"/>
  <sheetViews>
    <sheetView view="pageBreakPreview" topLeftCell="B1" zoomScale="82" zoomScaleNormal="80" zoomScaleSheetLayoutView="82" workbookViewId="0">
      <pane ySplit="3" topLeftCell="A4" activePane="bottomLeft" state="frozen"/>
      <selection activeCell="I28" sqref="I28"/>
      <selection pane="bottomLeft" activeCell="I19" sqref="I19"/>
    </sheetView>
  </sheetViews>
  <sheetFormatPr defaultRowHeight="12.75"/>
  <cols>
    <col min="1" max="1" width="6.7109375" style="3" hidden="1" customWidth="1"/>
    <col min="2" max="2" width="6.140625" style="3" customWidth="1"/>
    <col min="3" max="3" width="39" style="3" customWidth="1"/>
    <col min="4" max="4" width="18" style="46" customWidth="1"/>
    <col min="5" max="5" width="13.85546875" style="46" customWidth="1"/>
    <col min="6" max="6" width="11" style="46" customWidth="1"/>
    <col min="7" max="7" width="18.5703125" style="46" customWidth="1"/>
    <col min="8" max="8" width="14.85546875" style="46" bestFit="1" customWidth="1"/>
    <col min="9" max="9" width="17.5703125" style="46" bestFit="1" customWidth="1"/>
    <col min="10" max="10" width="14.7109375" style="46" customWidth="1"/>
    <col min="11" max="11" width="13.7109375" style="46" customWidth="1"/>
    <col min="12" max="12" width="19" style="46" customWidth="1"/>
    <col min="13" max="13" width="19" style="46" bestFit="1" customWidth="1"/>
    <col min="14" max="14" width="10.5703125" style="3" bestFit="1" customWidth="1"/>
    <col min="15" max="15" width="9.28515625" style="3" bestFit="1" customWidth="1"/>
    <col min="16" max="16" width="9.140625" style="3"/>
    <col min="17" max="17" width="0.140625" style="3" customWidth="1"/>
    <col min="18" max="16384" width="9.140625" style="3"/>
  </cols>
  <sheetData>
    <row r="1" spans="2:17">
      <c r="B1" s="321" t="str">
        <f>BS!B1</f>
        <v>M/S XYZ</v>
      </c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</row>
    <row r="2" spans="2:17">
      <c r="B2" s="13" t="s">
        <v>159</v>
      </c>
    </row>
    <row r="3" spans="2:17">
      <c r="B3" s="5"/>
    </row>
    <row r="4" spans="2:17">
      <c r="B4" s="4" t="s">
        <v>385</v>
      </c>
      <c r="C4" s="47"/>
      <c r="D4" s="42"/>
      <c r="E4" s="42"/>
      <c r="G4" s="41"/>
      <c r="M4" s="48"/>
    </row>
    <row r="5" spans="2:17">
      <c r="B5" s="4"/>
      <c r="C5" s="47"/>
      <c r="E5" s="41"/>
      <c r="G5" s="41"/>
    </row>
    <row r="6" spans="2:17">
      <c r="B6" s="322" t="s">
        <v>17</v>
      </c>
      <c r="C6" s="324" t="s">
        <v>13</v>
      </c>
      <c r="D6" s="326" t="s">
        <v>14</v>
      </c>
      <c r="E6" s="326"/>
      <c r="F6" s="326"/>
      <c r="G6" s="326"/>
      <c r="H6" s="326" t="s">
        <v>15</v>
      </c>
      <c r="I6" s="326"/>
      <c r="J6" s="326"/>
      <c r="K6" s="326"/>
      <c r="L6" s="326" t="s">
        <v>16</v>
      </c>
      <c r="M6" s="326"/>
    </row>
    <row r="7" spans="2:17" ht="51">
      <c r="B7" s="323"/>
      <c r="C7" s="325"/>
      <c r="D7" s="49" t="s">
        <v>386</v>
      </c>
      <c r="E7" s="49" t="s">
        <v>18</v>
      </c>
      <c r="F7" s="49" t="s">
        <v>73</v>
      </c>
      <c r="G7" s="49" t="s">
        <v>387</v>
      </c>
      <c r="H7" s="49" t="s">
        <v>388</v>
      </c>
      <c r="I7" s="49" t="s">
        <v>19</v>
      </c>
      <c r="J7" s="49" t="s">
        <v>74</v>
      </c>
      <c r="K7" s="49" t="s">
        <v>389</v>
      </c>
      <c r="L7" s="49" t="s">
        <v>390</v>
      </c>
      <c r="M7" s="49" t="s">
        <v>185</v>
      </c>
      <c r="N7" s="6"/>
      <c r="O7" s="40"/>
      <c r="P7" s="6"/>
      <c r="Q7" s="6"/>
    </row>
    <row r="8" spans="2:17">
      <c r="B8" s="21"/>
      <c r="C8" s="50"/>
      <c r="D8" s="51"/>
      <c r="E8" s="51"/>
      <c r="F8" s="51"/>
      <c r="G8" s="51"/>
      <c r="H8" s="51"/>
      <c r="I8" s="51"/>
      <c r="J8" s="51"/>
      <c r="K8" s="51"/>
      <c r="L8" s="51"/>
      <c r="M8" s="51"/>
      <c r="N8" s="6"/>
      <c r="O8" s="40"/>
      <c r="P8" s="6"/>
      <c r="Q8" s="6"/>
    </row>
    <row r="9" spans="2:17" s="8" customFormat="1">
      <c r="B9" s="7">
        <v>1</v>
      </c>
      <c r="C9" s="8" t="s">
        <v>157</v>
      </c>
      <c r="D9" s="41">
        <v>12990</v>
      </c>
      <c r="E9" s="41">
        <v>0</v>
      </c>
      <c r="F9" s="52">
        <v>0</v>
      </c>
      <c r="G9" s="41">
        <f>+D9+E9-F9</f>
        <v>12990</v>
      </c>
      <c r="H9" s="41">
        <v>1515</v>
      </c>
      <c r="I9" s="41">
        <f>ROUND(+M9*0.1,0)</f>
        <v>1148</v>
      </c>
      <c r="J9" s="41"/>
      <c r="K9" s="41">
        <f>+H9+I9-J9</f>
        <v>2663</v>
      </c>
      <c r="L9" s="41">
        <f>+G9-K9</f>
        <v>10327</v>
      </c>
      <c r="M9" s="41">
        <f>+D9-H9</f>
        <v>11475</v>
      </c>
      <c r="N9" s="233"/>
      <c r="O9" s="9"/>
    </row>
    <row r="10" spans="2:17" s="8" customFormat="1">
      <c r="C10" s="8" t="s">
        <v>72</v>
      </c>
      <c r="D10" s="41"/>
      <c r="E10" s="41"/>
      <c r="F10" s="52"/>
      <c r="G10" s="41"/>
      <c r="H10" s="41"/>
      <c r="I10" s="41"/>
      <c r="J10" s="41"/>
      <c r="K10" s="41"/>
      <c r="L10" s="41"/>
      <c r="M10" s="41"/>
      <c r="N10" s="233"/>
      <c r="O10" s="9"/>
    </row>
    <row r="11" spans="2:17" s="8" customFormat="1">
      <c r="B11" s="10">
        <v>2</v>
      </c>
      <c r="C11" s="8" t="s">
        <v>186</v>
      </c>
      <c r="D11" s="41">
        <v>62738</v>
      </c>
      <c r="E11" s="41">
        <v>15000</v>
      </c>
      <c r="F11" s="52">
        <v>0</v>
      </c>
      <c r="G11" s="41">
        <f>+D11+E11-F11</f>
        <v>77738</v>
      </c>
      <c r="H11" s="41">
        <v>22085</v>
      </c>
      <c r="I11" s="41">
        <f>ROUND(+M11*0.6,0)+E11*0.6</f>
        <v>33392</v>
      </c>
      <c r="J11" s="41"/>
      <c r="K11" s="41">
        <f>+H11+I11-J11</f>
        <v>55477</v>
      </c>
      <c r="L11" s="41">
        <f t="shared" ref="L11" si="0">+G11-K11</f>
        <v>22261</v>
      </c>
      <c r="M11" s="41">
        <f>+D11-H11</f>
        <v>40653</v>
      </c>
      <c r="N11" s="233"/>
      <c r="O11" s="9"/>
    </row>
    <row r="12" spans="2:17" s="8" customFormat="1">
      <c r="B12" s="10"/>
      <c r="D12" s="41"/>
      <c r="E12" s="41"/>
      <c r="F12" s="52"/>
      <c r="G12" s="41"/>
      <c r="H12" s="41"/>
      <c r="I12" s="41"/>
      <c r="J12" s="41"/>
      <c r="K12" s="41"/>
      <c r="L12" s="41"/>
      <c r="M12" s="41"/>
      <c r="N12" s="233"/>
      <c r="O12" s="9"/>
    </row>
    <row r="13" spans="2:17" s="8" customFormat="1">
      <c r="B13" s="10">
        <v>3</v>
      </c>
      <c r="C13" s="12" t="s">
        <v>187</v>
      </c>
      <c r="D13" s="41">
        <v>18000</v>
      </c>
      <c r="E13" s="41">
        <v>0</v>
      </c>
      <c r="F13" s="52">
        <v>0</v>
      </c>
      <c r="G13" s="41">
        <f>+D13+E13-F13</f>
        <v>18000</v>
      </c>
      <c r="H13" s="41">
        <v>1800</v>
      </c>
      <c r="I13" s="41">
        <f>ROUND(+M13*0.1,0)</f>
        <v>1620</v>
      </c>
      <c r="J13" s="41"/>
      <c r="K13" s="41">
        <f>+H13+I13-J13</f>
        <v>3420</v>
      </c>
      <c r="L13" s="41">
        <f t="shared" ref="L13" si="1">+G13-K13</f>
        <v>14580</v>
      </c>
      <c r="M13" s="41">
        <f>+D13-H13</f>
        <v>16200</v>
      </c>
      <c r="N13" s="233"/>
      <c r="O13" s="9"/>
    </row>
    <row r="14" spans="2:17" s="8" customFormat="1">
      <c r="B14" s="10"/>
      <c r="D14" s="41"/>
      <c r="E14" s="41"/>
      <c r="F14" s="52"/>
      <c r="G14" s="41"/>
      <c r="H14" s="41"/>
      <c r="I14" s="41"/>
      <c r="J14" s="41"/>
      <c r="K14" s="41"/>
      <c r="L14" s="41"/>
      <c r="M14" s="41"/>
      <c r="N14" s="233"/>
      <c r="O14" s="9"/>
    </row>
    <row r="15" spans="2:17" s="8" customFormat="1">
      <c r="B15" s="10">
        <v>4</v>
      </c>
      <c r="C15" s="12" t="s">
        <v>188</v>
      </c>
      <c r="D15" s="41">
        <v>20500</v>
      </c>
      <c r="E15" s="41">
        <v>8600</v>
      </c>
      <c r="F15" s="52">
        <v>0</v>
      </c>
      <c r="G15" s="41">
        <f>+D15+E15-F15</f>
        <v>29100</v>
      </c>
      <c r="H15" s="41">
        <v>2438</v>
      </c>
      <c r="I15" s="41">
        <f>ROUND(+M15*0.15,0)+E15*7.5%</f>
        <v>3354</v>
      </c>
      <c r="J15" s="41"/>
      <c r="K15" s="41">
        <f>+H15+I15-J15</f>
        <v>5792</v>
      </c>
      <c r="L15" s="41">
        <f t="shared" ref="L15" si="2">+G15-K15</f>
        <v>23308</v>
      </c>
      <c r="M15" s="41">
        <f>+D15-H15</f>
        <v>18062</v>
      </c>
      <c r="N15" s="233"/>
      <c r="O15" s="9"/>
    </row>
    <row r="16" spans="2:17" s="8" customFormat="1">
      <c r="B16" s="10"/>
      <c r="C16" s="8" t="s">
        <v>72</v>
      </c>
      <c r="D16" s="41"/>
      <c r="E16" s="41"/>
      <c r="F16" s="52"/>
      <c r="G16" s="41"/>
      <c r="H16" s="41"/>
      <c r="I16" s="41"/>
      <c r="J16" s="41"/>
      <c r="K16" s="41"/>
      <c r="L16" s="42"/>
      <c r="M16" s="41"/>
      <c r="N16" s="233"/>
      <c r="O16" s="9"/>
      <c r="Q16" s="11">
        <v>-32375617.654435329</v>
      </c>
    </row>
    <row r="17" spans="2:17" s="8" customFormat="1">
      <c r="B17" s="10">
        <v>5</v>
      </c>
      <c r="C17" s="12" t="s">
        <v>189</v>
      </c>
      <c r="D17" s="41">
        <v>15990</v>
      </c>
      <c r="E17" s="41">
        <v>0</v>
      </c>
      <c r="F17" s="52">
        <v>0</v>
      </c>
      <c r="G17" s="41">
        <f>+D17+E17-F17</f>
        <v>15990</v>
      </c>
      <c r="H17" s="41">
        <v>2399</v>
      </c>
      <c r="I17" s="41">
        <f>ROUND(+M17*0.15,0)</f>
        <v>2039</v>
      </c>
      <c r="J17" s="41"/>
      <c r="K17" s="41">
        <f>+H17+I17-J17</f>
        <v>4438</v>
      </c>
      <c r="L17" s="41">
        <f t="shared" ref="L17" si="3">+G17-K17</f>
        <v>11552</v>
      </c>
      <c r="M17" s="41">
        <f>+D17-H17</f>
        <v>13591</v>
      </c>
      <c r="N17" s="233"/>
      <c r="O17" s="9"/>
      <c r="Q17" s="11"/>
    </row>
    <row r="18" spans="2:17" s="8" customFormat="1">
      <c r="B18" s="10"/>
      <c r="C18" s="47"/>
      <c r="D18" s="42"/>
      <c r="E18" s="41"/>
      <c r="F18" s="52"/>
      <c r="G18" s="42"/>
      <c r="H18" s="41"/>
      <c r="I18" s="41"/>
      <c r="J18" s="41"/>
      <c r="K18" s="42"/>
      <c r="L18" s="42"/>
      <c r="M18" s="41"/>
      <c r="N18" s="233"/>
      <c r="O18" s="9"/>
    </row>
    <row r="19" spans="2:17" s="8" customFormat="1" ht="13.5" thickBot="1">
      <c r="B19" s="10"/>
      <c r="C19" s="53" t="s">
        <v>20</v>
      </c>
      <c r="D19" s="54">
        <f>SUM(D8:D18)</f>
        <v>130218</v>
      </c>
      <c r="E19" s="54">
        <f t="shared" ref="E19:M19" si="4">SUM(E8:E18)</f>
        <v>23600</v>
      </c>
      <c r="F19" s="54">
        <f t="shared" si="4"/>
        <v>0</v>
      </c>
      <c r="G19" s="54">
        <f t="shared" si="4"/>
        <v>153818</v>
      </c>
      <c r="H19" s="54">
        <f t="shared" si="4"/>
        <v>30237</v>
      </c>
      <c r="I19" s="54">
        <f t="shared" si="4"/>
        <v>41553</v>
      </c>
      <c r="J19" s="54">
        <f t="shared" si="4"/>
        <v>0</v>
      </c>
      <c r="K19" s="54">
        <f t="shared" si="4"/>
        <v>71790</v>
      </c>
      <c r="L19" s="54">
        <f t="shared" si="4"/>
        <v>82028</v>
      </c>
      <c r="M19" s="54">
        <f t="shared" si="4"/>
        <v>99981</v>
      </c>
      <c r="O19" s="9"/>
    </row>
    <row r="20" spans="2:17" s="8" customFormat="1" ht="13.5" thickTop="1">
      <c r="B20" s="10"/>
      <c r="C20" s="47"/>
      <c r="D20" s="42"/>
      <c r="E20" s="41"/>
      <c r="F20" s="52"/>
      <c r="G20" s="42"/>
      <c r="H20" s="41"/>
      <c r="I20" s="41"/>
      <c r="J20" s="41"/>
      <c r="K20" s="42"/>
      <c r="L20" s="42"/>
      <c r="M20" s="41"/>
      <c r="O20" s="9"/>
    </row>
    <row r="21" spans="2:17" ht="13.5" thickBot="1">
      <c r="C21" s="4" t="s">
        <v>21</v>
      </c>
      <c r="D21" s="54">
        <v>0</v>
      </c>
      <c r="E21" s="54">
        <v>0</v>
      </c>
      <c r="F21" s="54"/>
      <c r="G21" s="54">
        <f>+D21+E21-F21</f>
        <v>0</v>
      </c>
      <c r="H21" s="54">
        <v>0</v>
      </c>
      <c r="I21" s="54">
        <v>0</v>
      </c>
      <c r="J21" s="54"/>
      <c r="K21" s="54">
        <f>+H21+I21-J21</f>
        <v>0</v>
      </c>
      <c r="L21" s="54">
        <f>+G21-K21</f>
        <v>0</v>
      </c>
      <c r="M21" s="54">
        <f>+D21-H21</f>
        <v>0</v>
      </c>
    </row>
    <row r="22" spans="2:17" ht="13.5" thickTop="1">
      <c r="B22" s="4"/>
    </row>
    <row r="23" spans="2:17">
      <c r="B23"/>
    </row>
    <row r="24" spans="2:17">
      <c r="B24" s="4"/>
    </row>
    <row r="25" spans="2:17">
      <c r="B25" s="1"/>
    </row>
    <row r="26" spans="2:17">
      <c r="B26" s="4"/>
    </row>
    <row r="27" spans="2:17">
      <c r="B27" s="4"/>
    </row>
    <row r="28" spans="2:17">
      <c r="B28" s="4"/>
    </row>
    <row r="29" spans="2:17">
      <c r="B29" s="327"/>
      <c r="C29" s="328"/>
      <c r="D29" s="329"/>
      <c r="E29" s="329"/>
      <c r="F29" s="329"/>
      <c r="G29" s="329"/>
      <c r="H29" s="329"/>
      <c r="I29" s="329"/>
      <c r="J29" s="329"/>
      <c r="K29" s="329"/>
      <c r="L29" s="329"/>
      <c r="M29" s="329"/>
    </row>
    <row r="30" spans="2:17">
      <c r="B30" s="327"/>
      <c r="C30" s="328"/>
      <c r="D30" s="51"/>
      <c r="E30" s="51"/>
      <c r="F30" s="51"/>
      <c r="G30" s="51"/>
      <c r="H30" s="51"/>
      <c r="I30" s="51"/>
      <c r="J30" s="51"/>
      <c r="K30" s="51"/>
      <c r="L30" s="51"/>
      <c r="M30" s="51"/>
    </row>
    <row r="31" spans="2:17">
      <c r="B31" s="4"/>
    </row>
    <row r="32" spans="2:17">
      <c r="B32" s="7"/>
      <c r="C32" s="2"/>
      <c r="F32" s="55"/>
    </row>
    <row r="33" spans="2:6">
      <c r="B33" s="8"/>
      <c r="C33" s="8"/>
      <c r="F33" s="55"/>
    </row>
    <row r="34" spans="2:6">
      <c r="B34" s="7"/>
      <c r="C34" s="2"/>
      <c r="F34" s="55"/>
    </row>
    <row r="35" spans="2:6">
      <c r="B35" s="7"/>
      <c r="C35" s="8"/>
      <c r="F35" s="55"/>
    </row>
    <row r="36" spans="2:6">
      <c r="B36" s="10"/>
      <c r="C36" s="2"/>
      <c r="F36" s="55"/>
    </row>
    <row r="37" spans="2:6">
      <c r="B37" s="10"/>
      <c r="C37" s="8"/>
      <c r="F37" s="55"/>
    </row>
    <row r="38" spans="2:6">
      <c r="B38" s="10"/>
      <c r="C38" s="2"/>
      <c r="F38" s="55"/>
    </row>
    <row r="39" spans="2:6">
      <c r="B39" s="10"/>
      <c r="C39" s="8"/>
      <c r="F39" s="55"/>
    </row>
    <row r="40" spans="2:6">
      <c r="B40" s="10"/>
      <c r="C40" s="2"/>
      <c r="F40" s="55"/>
    </row>
    <row r="41" spans="2:6">
      <c r="B41" s="10"/>
      <c r="C41" s="8"/>
      <c r="F41" s="55"/>
    </row>
    <row r="42" spans="2:6">
      <c r="B42" s="10"/>
      <c r="C42" s="2"/>
      <c r="F42" s="55"/>
    </row>
    <row r="43" spans="2:6">
      <c r="B43" s="10"/>
      <c r="C43" s="2"/>
      <c r="F43" s="55"/>
    </row>
    <row r="44" spans="2:6">
      <c r="B44" s="10"/>
      <c r="C44" s="2"/>
      <c r="F44" s="55"/>
    </row>
    <row r="45" spans="2:6">
      <c r="B45" s="10"/>
      <c r="C45" s="2"/>
      <c r="F45" s="55"/>
    </row>
    <row r="46" spans="2:6">
      <c r="B46" s="10"/>
      <c r="C46" s="2"/>
      <c r="F46" s="55"/>
    </row>
    <row r="47" spans="2:6">
      <c r="B47" s="8"/>
    </row>
    <row r="48" spans="2:6">
      <c r="B48" s="10"/>
      <c r="C48" s="8"/>
    </row>
    <row r="49" spans="2:13">
      <c r="B49" s="4"/>
    </row>
    <row r="50" spans="2:13">
      <c r="C50" s="53"/>
      <c r="D50" s="42"/>
      <c r="E50" s="42"/>
      <c r="F50" s="42"/>
      <c r="G50" s="42"/>
      <c r="H50" s="42"/>
      <c r="I50" s="42"/>
      <c r="J50" s="42"/>
      <c r="K50" s="42"/>
      <c r="L50" s="42"/>
      <c r="M50" s="42"/>
    </row>
    <row r="52" spans="2:13">
      <c r="C52" s="4"/>
    </row>
    <row r="61" spans="2:13"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2:13"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2:13"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2:13"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4:13"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4:13"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4:13"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4:13"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4:13"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4:13"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4:13"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4:13"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4:13"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4:13"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4:13"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4:13"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4:13"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4:13"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4:13"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4:13"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4:13"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4:13"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4:13"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4:13"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4:13"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4:13"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4:13"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4:13"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4:13"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4:13"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4:13"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4:13"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4:13"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4:13"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4:13"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4:13"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4:13"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4:13"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4:13"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4:13"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4:13"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4:13"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4:13"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4:13"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4:13">
      <c r="D105" s="3"/>
      <c r="E105" s="3"/>
      <c r="F105" s="3"/>
      <c r="G105" s="3"/>
      <c r="H105" s="3"/>
      <c r="I105" s="3"/>
      <c r="J105" s="3"/>
      <c r="K105" s="3"/>
      <c r="L105" s="3"/>
      <c r="M105" s="3"/>
    </row>
  </sheetData>
  <mergeCells count="11">
    <mergeCell ref="B29:B30"/>
    <mergeCell ref="C29:C30"/>
    <mergeCell ref="D29:G29"/>
    <mergeCell ref="H29:K29"/>
    <mergeCell ref="L29:M29"/>
    <mergeCell ref="B1:M1"/>
    <mergeCell ref="B6:B7"/>
    <mergeCell ref="C6:C7"/>
    <mergeCell ref="D6:G6"/>
    <mergeCell ref="H6:K6"/>
    <mergeCell ref="L6:M6"/>
  </mergeCells>
  <printOptions horizontalCentered="1"/>
  <pageMargins left="0.2" right="0.1" top="0.5" bottom="0" header="0" footer="0"/>
  <pageSetup paperSize="9" scale="71" orientation="landscape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2:B26"/>
  <sheetViews>
    <sheetView tabSelected="1" workbookViewId="0">
      <selection activeCell="B28" sqref="B28"/>
    </sheetView>
  </sheetViews>
  <sheetFormatPr defaultRowHeight="12.75"/>
  <sheetData>
    <row r="2" spans="2:2">
      <c r="B2" t="s">
        <v>414</v>
      </c>
    </row>
    <row r="4" spans="2:2">
      <c r="B4" t="s">
        <v>356</v>
      </c>
    </row>
    <row r="5" spans="2:2">
      <c r="B5" t="s">
        <v>357</v>
      </c>
    </row>
    <row r="6" spans="2:2">
      <c r="B6" t="s">
        <v>358</v>
      </c>
    </row>
    <row r="7" spans="2:2">
      <c r="B7" t="s">
        <v>359</v>
      </c>
    </row>
    <row r="8" spans="2:2">
      <c r="B8" t="s">
        <v>360</v>
      </c>
    </row>
    <row r="9" spans="2:2">
      <c r="B9" t="s">
        <v>361</v>
      </c>
    </row>
    <row r="10" spans="2:2">
      <c r="B10" t="s">
        <v>362</v>
      </c>
    </row>
    <row r="11" spans="2:2">
      <c r="B11" t="s">
        <v>363</v>
      </c>
    </row>
    <row r="12" spans="2:2">
      <c r="B12" t="s">
        <v>364</v>
      </c>
    </row>
    <row r="13" spans="2:2">
      <c r="B13" t="s">
        <v>365</v>
      </c>
    </row>
    <row r="14" spans="2:2">
      <c r="B14" t="s">
        <v>366</v>
      </c>
    </row>
    <row r="15" spans="2:2">
      <c r="B15" t="s">
        <v>367</v>
      </c>
    </row>
    <row r="16" spans="2:2">
      <c r="B16" t="s">
        <v>368</v>
      </c>
    </row>
    <row r="17" spans="2:2">
      <c r="B17" t="s">
        <v>369</v>
      </c>
    </row>
    <row r="18" spans="2:2">
      <c r="B18" t="s">
        <v>370</v>
      </c>
    </row>
    <row r="19" spans="2:2">
      <c r="B19" t="s">
        <v>371</v>
      </c>
    </row>
    <row r="20" spans="2:2">
      <c r="B20" t="s">
        <v>372</v>
      </c>
    </row>
    <row r="21" spans="2:2">
      <c r="B21" t="s">
        <v>373</v>
      </c>
    </row>
    <row r="22" spans="2:2">
      <c r="B22" t="s">
        <v>374</v>
      </c>
    </row>
    <row r="23" spans="2:2">
      <c r="B23" t="s">
        <v>378</v>
      </c>
    </row>
    <row r="24" spans="2:2">
      <c r="B24" t="s">
        <v>375</v>
      </c>
    </row>
    <row r="25" spans="2:2">
      <c r="B25" t="s">
        <v>376</v>
      </c>
    </row>
    <row r="26" spans="2:2">
      <c r="B26" t="s">
        <v>377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B3:I19"/>
  <sheetViews>
    <sheetView workbookViewId="0">
      <selection activeCell="I28" sqref="I28"/>
    </sheetView>
  </sheetViews>
  <sheetFormatPr defaultRowHeight="12.75"/>
  <cols>
    <col min="1" max="1" width="9.140625" style="14"/>
    <col min="2" max="2" width="9.140625" style="14" customWidth="1"/>
    <col min="3" max="3" width="14" style="14" customWidth="1"/>
    <col min="4" max="4" width="11.28515625" style="14" bestFit="1" customWidth="1"/>
    <col min="5" max="6" width="12.28515625" style="14" customWidth="1"/>
    <col min="7" max="7" width="11.28515625" style="14" bestFit="1" customWidth="1"/>
    <col min="8" max="8" width="10.28515625" style="14" bestFit="1" customWidth="1"/>
    <col min="9" max="9" width="10.85546875" style="14" bestFit="1" customWidth="1"/>
    <col min="10" max="16384" width="9.140625" style="14"/>
  </cols>
  <sheetData>
    <row r="3" spans="2:9" s="115" customFormat="1" ht="25.5">
      <c r="B3" s="116" t="s">
        <v>223</v>
      </c>
      <c r="C3" s="116" t="s">
        <v>224</v>
      </c>
      <c r="D3" s="116" t="s">
        <v>227</v>
      </c>
      <c r="E3" s="116" t="s">
        <v>228</v>
      </c>
      <c r="F3" s="116" t="s">
        <v>230</v>
      </c>
      <c r="G3" s="116" t="s">
        <v>229</v>
      </c>
      <c r="H3" s="116" t="s">
        <v>225</v>
      </c>
      <c r="I3" s="116" t="s">
        <v>225</v>
      </c>
    </row>
    <row r="4" spans="2:9">
      <c r="B4" s="117"/>
      <c r="C4" s="117"/>
      <c r="D4" s="117"/>
      <c r="E4" s="117"/>
      <c r="F4" s="117"/>
      <c r="G4" s="117"/>
      <c r="H4" s="117"/>
      <c r="I4" s="117"/>
    </row>
    <row r="5" spans="2:9">
      <c r="B5" s="130">
        <v>42095</v>
      </c>
      <c r="C5" s="129">
        <v>544595</v>
      </c>
      <c r="D5" s="129">
        <f>ROUND(+C5*2%,0)</f>
        <v>10892</v>
      </c>
      <c r="E5" s="129">
        <v>10892</v>
      </c>
      <c r="F5" s="129">
        <f>+D5-E5</f>
        <v>0</v>
      </c>
      <c r="G5" s="129">
        <v>7746</v>
      </c>
      <c r="H5" s="129">
        <f>+E5-G5</f>
        <v>3146</v>
      </c>
      <c r="I5" s="129">
        <f t="shared" ref="I5:I17" si="0">+D5-G5</f>
        <v>3146</v>
      </c>
    </row>
    <row r="6" spans="2:9">
      <c r="B6" s="130">
        <v>42125</v>
      </c>
      <c r="C6" s="129">
        <v>2106459</v>
      </c>
      <c r="D6" s="129">
        <f t="shared" ref="D6:D16" si="1">ROUND(+C6*2%,0)</f>
        <v>42129</v>
      </c>
      <c r="E6" s="129">
        <v>42129</v>
      </c>
      <c r="F6" s="129">
        <f t="shared" ref="F6:F17" si="2">+D6-E6</f>
        <v>0</v>
      </c>
      <c r="G6" s="129">
        <v>36529</v>
      </c>
      <c r="H6" s="129">
        <f t="shared" ref="H6:H16" si="3">+E6-G6</f>
        <v>5600</v>
      </c>
      <c r="I6" s="129">
        <f t="shared" si="0"/>
        <v>5600</v>
      </c>
    </row>
    <row r="7" spans="2:9">
      <c r="B7" s="130">
        <v>42156</v>
      </c>
      <c r="C7" s="129">
        <v>749910</v>
      </c>
      <c r="D7" s="129">
        <f t="shared" si="1"/>
        <v>14998</v>
      </c>
      <c r="E7" s="129">
        <v>14998</v>
      </c>
      <c r="F7" s="129">
        <f t="shared" si="2"/>
        <v>0</v>
      </c>
      <c r="G7" s="129">
        <v>14998</v>
      </c>
      <c r="H7" s="129">
        <f t="shared" si="3"/>
        <v>0</v>
      </c>
      <c r="I7" s="129">
        <f t="shared" si="0"/>
        <v>0</v>
      </c>
    </row>
    <row r="8" spans="2:9">
      <c r="B8" s="130">
        <v>42186</v>
      </c>
      <c r="C8" s="129">
        <v>584679</v>
      </c>
      <c r="D8" s="129">
        <f t="shared" si="1"/>
        <v>11694</v>
      </c>
      <c r="E8" s="129">
        <v>14148</v>
      </c>
      <c r="F8" s="129">
        <f t="shared" si="2"/>
        <v>-2454</v>
      </c>
      <c r="G8" s="129">
        <v>14148</v>
      </c>
      <c r="H8" s="129">
        <f t="shared" si="3"/>
        <v>0</v>
      </c>
      <c r="I8" s="129">
        <f t="shared" si="0"/>
        <v>-2454</v>
      </c>
    </row>
    <row r="9" spans="2:9">
      <c r="B9" s="118">
        <v>42217</v>
      </c>
      <c r="C9" s="117">
        <v>1886596</v>
      </c>
      <c r="D9" s="117">
        <f t="shared" si="1"/>
        <v>37732</v>
      </c>
      <c r="E9" s="117">
        <v>47154</v>
      </c>
      <c r="F9" s="117">
        <f t="shared" si="2"/>
        <v>-9422</v>
      </c>
      <c r="G9" s="117">
        <f>43482+15+1650+3385</f>
        <v>48532</v>
      </c>
      <c r="H9" s="117">
        <f t="shared" si="3"/>
        <v>-1378</v>
      </c>
      <c r="I9" s="117">
        <f t="shared" si="0"/>
        <v>-10800</v>
      </c>
    </row>
    <row r="10" spans="2:9">
      <c r="B10" s="118">
        <v>42248</v>
      </c>
      <c r="C10" s="117">
        <v>2776418</v>
      </c>
      <c r="D10" s="117">
        <f t="shared" si="1"/>
        <v>55528</v>
      </c>
      <c r="E10" s="117">
        <v>52081</v>
      </c>
      <c r="F10" s="117">
        <f t="shared" si="2"/>
        <v>3447</v>
      </c>
      <c r="G10" s="117">
        <v>50551</v>
      </c>
      <c r="H10" s="117">
        <f t="shared" si="3"/>
        <v>1530</v>
      </c>
      <c r="I10" s="117">
        <f t="shared" si="0"/>
        <v>4977</v>
      </c>
    </row>
    <row r="11" spans="2:9">
      <c r="B11" s="118">
        <v>42278</v>
      </c>
      <c r="C11" s="117">
        <v>3673312</v>
      </c>
      <c r="D11" s="117">
        <f t="shared" si="1"/>
        <v>73466</v>
      </c>
      <c r="E11" s="117">
        <v>73465</v>
      </c>
      <c r="F11" s="117">
        <f t="shared" si="2"/>
        <v>1</v>
      </c>
      <c r="G11" s="117">
        <v>78286</v>
      </c>
      <c r="H11" s="117">
        <f t="shared" si="3"/>
        <v>-4821</v>
      </c>
      <c r="I11" s="117">
        <f t="shared" si="0"/>
        <v>-4820</v>
      </c>
    </row>
    <row r="12" spans="2:9">
      <c r="B12" s="130">
        <v>42309</v>
      </c>
      <c r="C12" s="129">
        <v>2009081</v>
      </c>
      <c r="D12" s="129">
        <f t="shared" si="1"/>
        <v>40182</v>
      </c>
      <c r="E12" s="129">
        <v>39963</v>
      </c>
      <c r="F12" s="129">
        <f t="shared" si="2"/>
        <v>219</v>
      </c>
      <c r="G12" s="129">
        <v>33126</v>
      </c>
      <c r="H12" s="129">
        <f t="shared" si="3"/>
        <v>6837</v>
      </c>
      <c r="I12" s="129">
        <f t="shared" si="0"/>
        <v>7056</v>
      </c>
    </row>
    <row r="13" spans="2:9">
      <c r="B13" s="130">
        <v>42339</v>
      </c>
      <c r="C13" s="129">
        <v>1036757</v>
      </c>
      <c r="D13" s="129">
        <f t="shared" si="1"/>
        <v>20735</v>
      </c>
      <c r="E13" s="129">
        <v>25735</v>
      </c>
      <c r="F13" s="129">
        <f t="shared" si="2"/>
        <v>-5000</v>
      </c>
      <c r="G13" s="129">
        <v>24874</v>
      </c>
      <c r="H13" s="129">
        <f t="shared" si="3"/>
        <v>861</v>
      </c>
      <c r="I13" s="129">
        <f t="shared" si="0"/>
        <v>-4139</v>
      </c>
    </row>
    <row r="14" spans="2:9">
      <c r="B14" s="130">
        <v>42370</v>
      </c>
      <c r="C14" s="129">
        <v>1295857</v>
      </c>
      <c r="D14" s="129">
        <f t="shared" si="1"/>
        <v>25917</v>
      </c>
      <c r="E14" s="129">
        <v>20822</v>
      </c>
      <c r="F14" s="129">
        <f t="shared" si="2"/>
        <v>5095</v>
      </c>
      <c r="G14" s="129">
        <v>21273</v>
      </c>
      <c r="H14" s="129">
        <f t="shared" si="3"/>
        <v>-451</v>
      </c>
      <c r="I14" s="129">
        <f t="shared" si="0"/>
        <v>4644</v>
      </c>
    </row>
    <row r="15" spans="2:9">
      <c r="B15" s="130">
        <v>42401</v>
      </c>
      <c r="C15" s="129">
        <v>1217107</v>
      </c>
      <c r="D15" s="129">
        <f t="shared" si="1"/>
        <v>24342</v>
      </c>
      <c r="E15" s="129">
        <v>24341</v>
      </c>
      <c r="F15" s="129">
        <f t="shared" si="2"/>
        <v>1</v>
      </c>
      <c r="G15" s="129">
        <v>24342</v>
      </c>
      <c r="H15" s="129">
        <f t="shared" si="3"/>
        <v>-1</v>
      </c>
      <c r="I15" s="129">
        <f t="shared" si="0"/>
        <v>0</v>
      </c>
    </row>
    <row r="16" spans="2:9">
      <c r="B16" s="130">
        <v>42430</v>
      </c>
      <c r="C16" s="129">
        <v>1840143</v>
      </c>
      <c r="D16" s="129">
        <f t="shared" si="1"/>
        <v>36803</v>
      </c>
      <c r="E16" s="129">
        <v>36122</v>
      </c>
      <c r="F16" s="129">
        <f t="shared" si="2"/>
        <v>681</v>
      </c>
      <c r="G16" s="129">
        <v>36121</v>
      </c>
      <c r="H16" s="129">
        <f t="shared" si="3"/>
        <v>1</v>
      </c>
      <c r="I16" s="129">
        <f t="shared" si="0"/>
        <v>682</v>
      </c>
    </row>
    <row r="17" spans="2:9">
      <c r="B17" s="117"/>
      <c r="C17" s="117"/>
      <c r="D17" s="117"/>
      <c r="E17" s="117"/>
      <c r="F17" s="117">
        <f t="shared" si="2"/>
        <v>0</v>
      </c>
      <c r="G17" s="117"/>
      <c r="H17" s="117"/>
      <c r="I17" s="117">
        <f t="shared" si="0"/>
        <v>0</v>
      </c>
    </row>
    <row r="18" spans="2:9">
      <c r="B18" s="119" t="s">
        <v>226</v>
      </c>
      <c r="C18" s="117">
        <f>SUM(C4:C17)</f>
        <v>19720914</v>
      </c>
      <c r="D18" s="117">
        <f t="shared" ref="D18:I18" si="4">SUM(D4:D17)</f>
        <v>394418</v>
      </c>
      <c r="E18" s="117">
        <f t="shared" si="4"/>
        <v>401850</v>
      </c>
      <c r="F18" s="117">
        <f t="shared" si="4"/>
        <v>-7432</v>
      </c>
      <c r="G18" s="117">
        <f t="shared" si="4"/>
        <v>390526</v>
      </c>
      <c r="H18" s="117">
        <f t="shared" si="4"/>
        <v>11324</v>
      </c>
      <c r="I18" s="117">
        <f t="shared" si="4"/>
        <v>3892</v>
      </c>
    </row>
    <row r="19" spans="2:9">
      <c r="B19" s="117"/>
      <c r="C19" s="117"/>
      <c r="D19" s="117"/>
      <c r="E19" s="117"/>
      <c r="F19" s="117"/>
      <c r="G19" s="117"/>
      <c r="H19" s="117"/>
      <c r="I19" s="1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5</vt:i4>
      </vt:variant>
    </vt:vector>
  </HeadingPairs>
  <TitlesOfParts>
    <vt:vector size="17" baseType="lpstr">
      <vt:lpstr>COI</vt:lpstr>
      <vt:lpstr>BS</vt:lpstr>
      <vt:lpstr>P&amp;L</vt:lpstr>
      <vt:lpstr>BS Sch</vt:lpstr>
      <vt:lpstr>P&amp;L Sch</vt:lpstr>
      <vt:lpstr>grouping</vt:lpstr>
      <vt:lpstr>fa</vt:lpstr>
      <vt:lpstr>QUERY</vt:lpstr>
      <vt:lpstr>tds working</vt:lpstr>
      <vt:lpstr>tds-f</vt:lpstr>
      <vt:lpstr>tds-fi</vt:lpstr>
      <vt:lpstr>tb</vt:lpstr>
      <vt:lpstr>BS!Print_Area</vt:lpstr>
      <vt:lpstr>'BS Sch'!Print_Area</vt:lpstr>
      <vt:lpstr>COI!Print_Area</vt:lpstr>
      <vt:lpstr>fa!Print_Area</vt:lpstr>
      <vt:lpstr>'P&amp;L'!Print_Area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kamal</dc:creator>
  <cp:lastModifiedBy>kamal</cp:lastModifiedBy>
  <cp:lastPrinted>2016-06-08T12:44:08Z</cp:lastPrinted>
  <dcterms:created xsi:type="dcterms:W3CDTF">1996-10-14T23:33:28Z</dcterms:created>
  <dcterms:modified xsi:type="dcterms:W3CDTF">2018-09-28T10:47:35Z</dcterms:modified>
</cp:coreProperties>
</file>